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6180" tabRatio="923" activeTab="0"/>
  </bookViews>
  <sheets>
    <sheet name="scrap" sheetId="1" r:id="rId1"/>
    <sheet name="E-WASTE" sheetId="2" r:id="rId2"/>
  </sheets>
  <definedNames>
    <definedName name="_xlnm.Print_Area" localSheetId="1">'E-WASTE'!$A$1:$C$29</definedName>
    <definedName name="_xlnm.Print_Area" localSheetId="0">'scrap'!$A$1:$E$1275</definedName>
  </definedNames>
  <calcPr fullCalcOnLoad="1"/>
</workbook>
</file>

<file path=xl/sharedStrings.xml><?xml version="1.0" encoding="utf-8"?>
<sst xmlns="http://schemas.openxmlformats.org/spreadsheetml/2006/main" count="2038" uniqueCount="718">
  <si>
    <t>A - Aluminium Conductor Steel Reinforced Scrap</t>
  </si>
  <si>
    <t>Registration no. of Vehicle</t>
  </si>
  <si>
    <t>Type of vehicle/ Model</t>
  </si>
  <si>
    <t>Present Location of vehicle</t>
  </si>
  <si>
    <t>Name of the office to which it relates/ Phone no. of the person to be contacted.</t>
  </si>
  <si>
    <t>Lot No.</t>
  </si>
  <si>
    <t>Name of Store where material is lying</t>
  </si>
  <si>
    <t>Quantity in MT</t>
  </si>
  <si>
    <t>I) Misc. items scrap lying as per detail given:-</t>
  </si>
  <si>
    <t>E - Auction Notice No. -</t>
  </si>
  <si>
    <t>Date of Auction -</t>
  </si>
  <si>
    <t>H- Damaged Distribution Transformer's HT/LT Aluminium coils scrap with insulation</t>
  </si>
  <si>
    <t>B)- Damaged Distribution Transformer's HT/LT Aluminium coils scrap with insulation</t>
  </si>
  <si>
    <t>E)  Miscellaneous Iron scrap</t>
  </si>
  <si>
    <t>G.Total</t>
  </si>
  <si>
    <t>K- Damaged Distribution Transformer's HT/LT Aluminium coils scrap with insulation</t>
  </si>
  <si>
    <t>J) Aluminium Conductor Steel Reinforced Scrap</t>
  </si>
  <si>
    <t xml:space="preserve">Name of Store </t>
  </si>
  <si>
    <t>Description of material</t>
  </si>
  <si>
    <t>Pilot W/Shop Sri Muktsar Sahib</t>
  </si>
  <si>
    <t>MS iron scrap / GI scrap</t>
  </si>
  <si>
    <t>Lot no. E - 1</t>
  </si>
  <si>
    <t xml:space="preserve">D) Misc.  Cable scrap </t>
  </si>
  <si>
    <t>Brass scrap</t>
  </si>
  <si>
    <t>Misc. Aluminium scrap</t>
  </si>
  <si>
    <t xml:space="preserve"> Q  Miscellaneous Healthy parts/ Non ferrous scrap material</t>
  </si>
  <si>
    <t>Lot no. Q-3</t>
  </si>
  <si>
    <t>Iron scrap</t>
  </si>
  <si>
    <t>TRY Malerkotla</t>
  </si>
  <si>
    <t>MS iron scrap</t>
  </si>
  <si>
    <t>Lot no. E - 2</t>
  </si>
  <si>
    <t>Misc. Alumn. Scrap</t>
  </si>
  <si>
    <t>All Alumn. Conductor Scrap</t>
  </si>
  <si>
    <t>Lot no. E - 3</t>
  </si>
  <si>
    <t>Lot no. Q-1</t>
  </si>
  <si>
    <t>Lot no. D-1</t>
  </si>
  <si>
    <t>TRY Bathinda</t>
  </si>
  <si>
    <t>Burnt Cu scrap</t>
  </si>
  <si>
    <t>Lot no. Q-4</t>
  </si>
  <si>
    <t>Lot no. Q-6</t>
  </si>
  <si>
    <t>Lot no. Q-7</t>
  </si>
  <si>
    <t>Burnt Aluminium scrap</t>
  </si>
  <si>
    <t>TRY Ferozepur</t>
  </si>
  <si>
    <t>CS Kotkapura</t>
  </si>
  <si>
    <t>Lot no. Q-10</t>
  </si>
  <si>
    <t>Misc. Copper scrap</t>
  </si>
  <si>
    <t>OL store Ropar</t>
  </si>
  <si>
    <t>Burnt copper scrap</t>
  </si>
  <si>
    <t>Lot no. Q-5</t>
  </si>
  <si>
    <t>L)  Condemned/obsolete Vehicles * (Without RC )</t>
  </si>
  <si>
    <t xml:space="preserve">M-LOT -  Three phase Copper/ Aluminium and single phase copper/ Alu wound Damaged Distribution Transformers As Per Actual Site Condition </t>
  </si>
  <si>
    <t>Lot no. E - 4</t>
  </si>
  <si>
    <t>CS Patiala</t>
  </si>
  <si>
    <t>Lot no. Q-11</t>
  </si>
  <si>
    <t>Pilot Workshop Mohali</t>
  </si>
  <si>
    <t>HT Wire scrap &amp; other intermingled iron scrap</t>
  </si>
  <si>
    <t>MS iron scrap ( MS sections, scrapped T&amp;P etc)</t>
  </si>
  <si>
    <t>S &amp; T Store Bathinda</t>
  </si>
  <si>
    <t>Nuts &amp; Bolts scrap</t>
  </si>
  <si>
    <t>OL Mansa</t>
  </si>
  <si>
    <t>Transformer body scrap</t>
  </si>
  <si>
    <t>MS Rail scrap</t>
  </si>
  <si>
    <t>CS Mohali</t>
  </si>
  <si>
    <t>CS Bathinda</t>
  </si>
  <si>
    <t>Teen Patra scrap</t>
  </si>
  <si>
    <t>Lot no. E - 5</t>
  </si>
  <si>
    <t>Lot no. E - 6</t>
  </si>
  <si>
    <t>Lot no. E - 7</t>
  </si>
  <si>
    <t>Lot no. E - 8</t>
  </si>
  <si>
    <t>Quantity in No</t>
  </si>
  <si>
    <t>Disc Insulator Scrap</t>
  </si>
  <si>
    <t>HT wire scrap off size</t>
  </si>
  <si>
    <t>Controller of Stores &amp; Disposal (South), PSPCL, Patiala</t>
  </si>
  <si>
    <t>Lot No B-1</t>
  </si>
  <si>
    <t>Lot No A-1</t>
  </si>
  <si>
    <t xml:space="preserve"> Iron scrap</t>
  </si>
  <si>
    <t>Quantity No</t>
  </si>
  <si>
    <t>CT/PT Units</t>
  </si>
  <si>
    <t>Lot no. I-1</t>
  </si>
  <si>
    <t>CS Sangrur</t>
  </si>
  <si>
    <t>Lot no. Q-8</t>
  </si>
  <si>
    <t>E-Waste Scrap(Meter Scrap) lying at</t>
  </si>
  <si>
    <t>Quantity ( in Kg.)</t>
  </si>
  <si>
    <t>A.O/Disposal</t>
  </si>
  <si>
    <r>
      <t xml:space="preserve">PUNJAB STATE POWER CORPORATION LIMITED  </t>
    </r>
    <r>
      <rPr>
        <b/>
        <sz val="11"/>
        <color indexed="8"/>
        <rFont val="Comic Sans MS"/>
        <family val="4"/>
      </rPr>
      <t xml:space="preserve">         </t>
    </r>
  </si>
  <si>
    <t>Patiala</t>
  </si>
  <si>
    <t>COS&amp;D(South)</t>
  </si>
  <si>
    <t>Sr Xen/Disposal</t>
  </si>
  <si>
    <t>PB-11 AH-0925</t>
  </si>
  <si>
    <t>SHAKTI VIHAR SHEDS PSPCL PATIALA</t>
  </si>
  <si>
    <t>2/core PVC Alumn. Cable scrap</t>
  </si>
  <si>
    <t>4/core PVC Alumn. Cable scrap</t>
  </si>
  <si>
    <t>3/ core XLPE Alu cable scrap</t>
  </si>
  <si>
    <t>Lot no. D-2</t>
  </si>
  <si>
    <t>Lot no. D-3</t>
  </si>
  <si>
    <t>CS Malout</t>
  </si>
  <si>
    <t>Lot no. D-4</t>
  </si>
  <si>
    <t>1/ core XLPE Alu cable scrap</t>
  </si>
  <si>
    <t>OL Ropar</t>
  </si>
  <si>
    <t>CS Ferozepur</t>
  </si>
  <si>
    <t>OL Bhagta Bhai Ka</t>
  </si>
  <si>
    <t>OL store Patran</t>
  </si>
  <si>
    <t>OL Patran</t>
  </si>
  <si>
    <t>OL Rajpura</t>
  </si>
  <si>
    <t>OL Nabha</t>
  </si>
  <si>
    <t>HONDA CIVIC CAR (PETROL) 2008</t>
  </si>
  <si>
    <t xml:space="preserve">NOTE : Before lifting of Transformers (From Lot no. ), HT/LT copper winding coils of transformers shall be mutilated by the purchaser. </t>
  </si>
  <si>
    <t xml:space="preserve">C -  Three phase Copper/ Aluminium and single phase copper/ Aluminium wound Damaged Distribution Transformers As Per Actual Site Condition </t>
  </si>
  <si>
    <t>Central Store Kotkapura</t>
  </si>
  <si>
    <t>L-1</t>
  </si>
  <si>
    <t>Lot no. Q-2</t>
  </si>
  <si>
    <t>Misc. copper scrap</t>
  </si>
  <si>
    <t>OL Fazilka</t>
  </si>
  <si>
    <t>G.TOTAL</t>
  </si>
  <si>
    <t>Lot No A-2</t>
  </si>
  <si>
    <t>Lot no. Q-12</t>
  </si>
  <si>
    <t>OL store Malerkotla</t>
  </si>
  <si>
    <t>Lot no. Q-13</t>
  </si>
  <si>
    <t>Lot no. Q-14</t>
  </si>
  <si>
    <t>Lot no. E - 10</t>
  </si>
  <si>
    <t>TRY Patiala</t>
  </si>
  <si>
    <t>Lot no. I-2</t>
  </si>
  <si>
    <t>Lot No B-2</t>
  </si>
  <si>
    <t>Lot No B-3</t>
  </si>
  <si>
    <t>Lot no. G - 1</t>
  </si>
  <si>
    <t>Lot no. Q-15</t>
  </si>
  <si>
    <t>OL Malerkotla</t>
  </si>
  <si>
    <t>Lot no. G - 2</t>
  </si>
  <si>
    <t>Lot no. G - 3</t>
  </si>
  <si>
    <t>Lot no. G - 4</t>
  </si>
  <si>
    <t>Lot no. G - 5</t>
  </si>
  <si>
    <t>Lot no. G - 6</t>
  </si>
  <si>
    <t>TRY Bhagta Bhai Ka</t>
  </si>
  <si>
    <t>Lot no. Q-16</t>
  </si>
  <si>
    <t>Lot no. Q-17</t>
  </si>
  <si>
    <t>TRY Sangrur</t>
  </si>
  <si>
    <t>TRY Patran</t>
  </si>
  <si>
    <t>Lot no. G - 7</t>
  </si>
  <si>
    <t>Lot no. G - 8</t>
  </si>
  <si>
    <t>Lot no. G - 9</t>
  </si>
  <si>
    <t>Lot no. G - 10</t>
  </si>
  <si>
    <t>Lot no. Q-18</t>
  </si>
  <si>
    <t>Earthwire GSL scrap</t>
  </si>
  <si>
    <t>TRY Ropar</t>
  </si>
  <si>
    <t>Lot no. G - 11</t>
  </si>
  <si>
    <t>Outlet store Shri Muktsar sahib</t>
  </si>
  <si>
    <t>OL Shri Muktsar Sahib</t>
  </si>
  <si>
    <t>Ms Nuts &amp; Bolts</t>
  </si>
  <si>
    <t>PB-05 F-9520</t>
  </si>
  <si>
    <t>MINI TRUCK EICHER DIESEL (1999)</t>
  </si>
  <si>
    <t>DS S/D MAMDOT S/D FEROZEPUR</t>
  </si>
  <si>
    <t>L-2</t>
  </si>
  <si>
    <t>ME LAB SANGRUR (Crushed Meter Scrap/E-Waste)</t>
  </si>
  <si>
    <t>ME LAB ROPAR (Crushed Meter Scrap/E-Waste)</t>
  </si>
  <si>
    <t>L-3</t>
  </si>
  <si>
    <t>PB-03 N-5547</t>
  </si>
  <si>
    <t>AMBASSADOR CAR DIESEL (2005)</t>
  </si>
  <si>
    <t>DS DIVISION BADAL</t>
  </si>
  <si>
    <t>Lot No B-5</t>
  </si>
  <si>
    <t>Central Store Patiala</t>
  </si>
  <si>
    <t>ME LAB PATIALA (Crushed Meter Scrap/E-Waste)</t>
  </si>
  <si>
    <t>Lot No A-3</t>
  </si>
  <si>
    <t>Lot No A-5</t>
  </si>
  <si>
    <t>Lot No A-7</t>
  </si>
  <si>
    <t>TRY Malout</t>
  </si>
  <si>
    <t>Lot No B-8</t>
  </si>
  <si>
    <t>TRY Mansa</t>
  </si>
  <si>
    <t>Lot no. D-7</t>
  </si>
  <si>
    <t>ABC cable scrap (70/95 mm)</t>
  </si>
  <si>
    <t>Lot no. D-8</t>
  </si>
  <si>
    <t>Lot no. D-9</t>
  </si>
  <si>
    <t>1/core PVC Alumn. Cable scrap</t>
  </si>
  <si>
    <t>Lot no. D-10</t>
  </si>
  <si>
    <t>Lot no. D-11</t>
  </si>
  <si>
    <t>Lot no. D-12</t>
  </si>
  <si>
    <t>Lot no. E - 9</t>
  </si>
  <si>
    <t>Lot no. E - 14</t>
  </si>
  <si>
    <t>Lot no. E - 15</t>
  </si>
  <si>
    <t>Lot No A-4</t>
  </si>
  <si>
    <t>Lot No A-6</t>
  </si>
  <si>
    <t>Outlet store Patran</t>
  </si>
  <si>
    <t>Outlet store Barnala</t>
  </si>
  <si>
    <t>Lot No A-9</t>
  </si>
  <si>
    <t>Lot No A-10</t>
  </si>
  <si>
    <t>Outlet store Ropar</t>
  </si>
  <si>
    <t>Outlet store Mansa</t>
  </si>
  <si>
    <t>Lot No B-6</t>
  </si>
  <si>
    <t>Lead seal scrap with lash wire</t>
  </si>
  <si>
    <t>Lot no. D-5</t>
  </si>
  <si>
    <t>OL Barnala</t>
  </si>
  <si>
    <t>Lot no. D-6</t>
  </si>
  <si>
    <t>Lot no. E - 18</t>
  </si>
  <si>
    <t>G.I. scrap</t>
  </si>
  <si>
    <t>Lot no. Q-23</t>
  </si>
  <si>
    <t>Lot no. Q-24</t>
  </si>
  <si>
    <t>Lot no. Q-19</t>
  </si>
  <si>
    <t>Lot no. I-3</t>
  </si>
  <si>
    <t>G.I. Scrap</t>
  </si>
  <si>
    <t>M.S. Nuts &amp; Bolts Scrap</t>
  </si>
  <si>
    <t>Lot no. E - 11</t>
  </si>
  <si>
    <t>CS Kotkapura  (.237 MT Intermingle)</t>
  </si>
  <si>
    <t>Lot No A-8</t>
  </si>
  <si>
    <t>Lot no. Q-20</t>
  </si>
  <si>
    <t>Lot No A-11</t>
  </si>
  <si>
    <t>Lot No B-4</t>
  </si>
  <si>
    <t>Lot no. I-4</t>
  </si>
  <si>
    <t>Lot no. E - 12</t>
  </si>
  <si>
    <t>Lot no. E - 13</t>
  </si>
  <si>
    <t>Central Store Sangrur</t>
  </si>
  <si>
    <t>Lot no. Q-21</t>
  </si>
  <si>
    <t>Lot no. D-14</t>
  </si>
  <si>
    <t xml:space="preserve">S.Report No. </t>
  </si>
  <si>
    <t xml:space="preserve">No of T/Fs </t>
  </si>
  <si>
    <t>Cap. in KVA</t>
  </si>
  <si>
    <t>Description</t>
  </si>
  <si>
    <t>Indicative Design Wt. of Core &amp; Winding (KG)</t>
  </si>
  <si>
    <t>Three Phase Aluminium Wound T/F</t>
  </si>
  <si>
    <t xml:space="preserve">10 KVA </t>
  </si>
  <si>
    <t>WNP =27 (unstandard tf's)</t>
  </si>
  <si>
    <t>WNP =25 (unstandard tf's)</t>
  </si>
  <si>
    <t>WNP =14 (unstandard tf's)</t>
  </si>
  <si>
    <t>TRY Moga</t>
  </si>
  <si>
    <t>Three Phase Copper Wound T/F</t>
  </si>
  <si>
    <t>6.3 KVA</t>
  </si>
  <si>
    <t>10 KVA</t>
  </si>
  <si>
    <t>WNP-25 (unstandard tf's)</t>
  </si>
  <si>
    <t>WNP-18 (unstandard tf's)</t>
  </si>
  <si>
    <t>16 KVA</t>
  </si>
  <si>
    <t>Single Phase Copper Wound T/F</t>
  </si>
  <si>
    <t>Single Phase Aluminium Wound T/F</t>
  </si>
  <si>
    <t>Outlet store Rajpura</t>
  </si>
  <si>
    <t>25 KVA</t>
  </si>
  <si>
    <r>
      <t xml:space="preserve">Following Scrap Material is Offered for On-Line Forward E-Auction at the above mentioned date as per the prevailing PSPCL's Terms &amp; Conditions of the E-Auction Sale ( available on PSPCL web site www.pspcl.in) on </t>
    </r>
    <r>
      <rPr>
        <b/>
        <sz val="12"/>
        <rFont val="Arial"/>
        <family val="2"/>
      </rPr>
      <t>"As - Is - Where - Is " basis.</t>
    </r>
  </si>
  <si>
    <t>Lot no. Q-22</t>
  </si>
  <si>
    <t>Lot no. Q-25</t>
  </si>
  <si>
    <t xml:space="preserve">6.3 KVA </t>
  </si>
  <si>
    <t xml:space="preserve">16 KVA </t>
  </si>
  <si>
    <t>WNP-1 (unstandard tf's)</t>
  </si>
  <si>
    <t>WNP-3 (unstandard tf's)</t>
  </si>
  <si>
    <t>63 KVA</t>
  </si>
  <si>
    <r>
      <t xml:space="preserve">Lot No. C 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</si>
  <si>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>Lot no. D-13</t>
  </si>
  <si>
    <t>100 KVA</t>
  </si>
  <si>
    <t xml:space="preserve"> WNP=1 (unstandard tf's)</t>
  </si>
  <si>
    <t>ABC cable scrap (150 mm)</t>
  </si>
  <si>
    <t>TRY Kotkapura</t>
  </si>
  <si>
    <t>Lot No B-7</t>
  </si>
  <si>
    <t>Lot no. Q-26</t>
  </si>
  <si>
    <t>Lot No B-9</t>
  </si>
  <si>
    <t>Lot no. D-15</t>
  </si>
  <si>
    <t>Lot no. D-16</t>
  </si>
  <si>
    <t xml:space="preserve"> </t>
  </si>
  <si>
    <t>…. CE/ TA &amp; I PSPCL PATIALA 96461-19587</t>
  </si>
  <si>
    <t>….. DS S/D MAMDOT PSPCL FEROZEPUR MOB 9646114589</t>
  </si>
  <si>
    <t>….. DS DIVISION BADAL 96461-14534</t>
  </si>
  <si>
    <t>STAR-1, STAR/TA=01,STAR/JB-1, ,JAY BEE=2,SONI=01,DURGA/JB=01, DURGA/SIC-1,NUCON=1,MUBASA/JB=01,SVASCA=01,SWASTIK/HR POWER-1, SWASTIK/JB-2,,LIBERTY/KB=01,SIC/JB=01,SARAF/ELECTRA=01,DM/PME=01,TA=01,TMR/PME=01</t>
  </si>
  <si>
    <t>WNP-27 (unstandard tf's)</t>
  </si>
  <si>
    <t>WNP-26 (unstandard tf's)</t>
  </si>
  <si>
    <t>WNP-30 (unstandard tf's)</t>
  </si>
  <si>
    <t>PTEL-1</t>
  </si>
  <si>
    <t>Outlet store Fazilka</t>
  </si>
  <si>
    <t>Lot No B-10</t>
  </si>
  <si>
    <t>Lot no. D17</t>
  </si>
  <si>
    <t>Lot no. Q-27</t>
  </si>
  <si>
    <t>Outlet store Moga</t>
  </si>
  <si>
    <t>Lot No A-12</t>
  </si>
  <si>
    <t>Lot no. D18</t>
  </si>
  <si>
    <t>OL Moga</t>
  </si>
  <si>
    <t>Lot no. Q-28</t>
  </si>
  <si>
    <t>ME LAB MOGA (Crushed Meter Scrap/E-Waste)</t>
  </si>
  <si>
    <t>ME LAB SHRI MUKTSAR SAHIB (Crushed Meter Scrap/E-Waste)</t>
  </si>
  <si>
    <t>Lot No. I-10</t>
  </si>
  <si>
    <t>Lot No. I-11</t>
  </si>
  <si>
    <t>Lot No. I-12</t>
  </si>
  <si>
    <t>Lot No. I-13</t>
  </si>
  <si>
    <t>Lot No. I-14</t>
  </si>
  <si>
    <t>Lot no. I-5</t>
  </si>
  <si>
    <t>Empty steel drums (cap.209 ltr.)</t>
  </si>
  <si>
    <t>50/2023</t>
  </si>
  <si>
    <t>SKYWAY-3, PP-1,JB-1, NUCON-1, ARDI-1</t>
  </si>
  <si>
    <t>51/2023</t>
  </si>
  <si>
    <t>JB-1, UP T/F-1, SICL-1, TA-1</t>
  </si>
  <si>
    <t>TA-1</t>
  </si>
  <si>
    <t>52/2023</t>
  </si>
  <si>
    <t>53/2023</t>
  </si>
  <si>
    <t>G)  Wooden scrap (without iron parts) lying as per detail given below:-</t>
  </si>
  <si>
    <t>Central Store Bathinda</t>
  </si>
  <si>
    <t>Lot no. I-6</t>
  </si>
  <si>
    <r>
      <t xml:space="preserve">Lot No. C 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</si>
  <si>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t>DAUSA - 1, PTEL - 1, SIC-1</t>
  </si>
  <si>
    <t>SARAF - 2, PP - 1</t>
  </si>
  <si>
    <t>WNP-14 (unstandard tf's)</t>
  </si>
  <si>
    <t>WNP-7 (unstandard tf's)</t>
  </si>
  <si>
    <t>WNP-5 (unstandard tf's)</t>
  </si>
  <si>
    <t>WNP-2 (unstandard tf's)</t>
  </si>
  <si>
    <t>PTEL-3, PP-3</t>
  </si>
  <si>
    <t>SICL-2</t>
  </si>
  <si>
    <t>ECO-1, SICL-1</t>
  </si>
  <si>
    <t xml:space="preserve"> WNP=25 (unstandard tf's)</t>
  </si>
  <si>
    <t xml:space="preserve"> WNP=29 (unstandard tf's)</t>
  </si>
  <si>
    <t>NUCON-2</t>
  </si>
  <si>
    <t>NUCON-1,SHIVALIK-1,PAN-2,JR-2,PUNJAB-1,ASI-1</t>
  </si>
  <si>
    <t>SARAF-1,JB-2,PTEL-1</t>
  </si>
  <si>
    <t>SHIV BHOLE/PTEL-1, IACL/TA-1, STAR/PTEL-1</t>
  </si>
  <si>
    <t>DM/TA-1, GOYMA/PTEL-1, PP-1</t>
  </si>
  <si>
    <t>Lot No A-13</t>
  </si>
  <si>
    <t>Lot No A-14</t>
  </si>
  <si>
    <t>Lot no. E - 16</t>
  </si>
  <si>
    <t>Lot No A-15</t>
  </si>
  <si>
    <t>Lot No A-16</t>
  </si>
  <si>
    <t>Central Store Malout</t>
  </si>
  <si>
    <t>Lot no. I-7</t>
  </si>
  <si>
    <t>OL Shri Mukfsar Sahib</t>
  </si>
  <si>
    <t>Lot No. I-15</t>
  </si>
  <si>
    <t>TRY Barnala</t>
  </si>
  <si>
    <t>ARDISON-1,SKYWAY-1,UTTAM-2</t>
  </si>
  <si>
    <t>NUCON-1,MS-1</t>
  </si>
  <si>
    <t xml:space="preserve"> WNP=19 (unstandard tf's)</t>
  </si>
  <si>
    <t>ARD-1,WNP-19 ( unstandard tf's)</t>
  </si>
  <si>
    <t>JB-1,WNP-11 (unstandard tf's)</t>
  </si>
  <si>
    <t>Alu.  seals scrap with lash wire</t>
  </si>
  <si>
    <t>Lot no. I-8</t>
  </si>
  <si>
    <t xml:space="preserve">WNP =1.(unstandard tf's)                                                                     </t>
  </si>
  <si>
    <t xml:space="preserve">WNP =8.(unstandard tf's)                                                                     </t>
  </si>
  <si>
    <t>dtpl-1,pp-2,kissan-1,saraf-1</t>
  </si>
  <si>
    <t>ptel-1</t>
  </si>
  <si>
    <t>pp-1</t>
  </si>
  <si>
    <t xml:space="preserve">mcpl-1,wnp-1.(unstandard tf's)   </t>
  </si>
  <si>
    <t xml:space="preserve">WNP =5.(unstandard tf's)                                                                     </t>
  </si>
  <si>
    <t>DTPL - 2 , MRN - 1, TA-1</t>
  </si>
  <si>
    <t>NUCON - 1</t>
  </si>
  <si>
    <t>SARAF-1, MRN - 1</t>
  </si>
  <si>
    <t xml:space="preserve">WNP =27.(unstandard tf's)                                                                     </t>
  </si>
  <si>
    <t xml:space="preserve">WNP =3.(unstandard tf's)                                                                     </t>
  </si>
  <si>
    <t>AA - LT ABC Cable scrap without insulation:-</t>
  </si>
  <si>
    <t>Lot No AA-1</t>
  </si>
  <si>
    <t>U/S Tyres</t>
  </si>
  <si>
    <t>U/S Tubes</t>
  </si>
  <si>
    <t>CS SANGRUR (U/S AC WINDOW)</t>
  </si>
  <si>
    <t>CS PATIALA  (U/S AC WINDOW)</t>
  </si>
  <si>
    <t>Quantity ( in No.)</t>
  </si>
  <si>
    <r>
      <rPr>
        <b/>
        <u val="single"/>
        <sz val="14"/>
        <color indexed="8"/>
        <rFont val="Calibri"/>
        <family val="2"/>
      </rPr>
      <t>(I) E-Waste Material lying in Central Store Patiala,Central Store Sangrur as per detail given below :-</t>
    </r>
    <r>
      <rPr>
        <b/>
        <sz val="14"/>
        <color indexed="8"/>
        <rFont val="Calibri"/>
        <family val="2"/>
      </rPr>
      <t xml:space="preserve">                                                                                                   </t>
    </r>
    <r>
      <rPr>
        <b/>
        <u val="single"/>
        <sz val="16"/>
        <color indexed="8"/>
        <rFont val="Calibri"/>
        <family val="2"/>
      </rPr>
      <t>Note:-</t>
    </r>
    <r>
      <rPr>
        <b/>
        <sz val="14"/>
        <color indexed="8"/>
        <rFont val="Calibri"/>
        <family val="2"/>
      </rPr>
      <t xml:space="preserve"> Bidders holding valid authorisation under E-waste (Management) Rules, 2016 as amended in 2018 for dismantling, recycling and refurbishing of E-waste are allowed to participate in E-auction of E-waste. Bid initiated by any other bidder for purchase of E-waste material without holding above mentioned authorisation will not be considered. </t>
    </r>
  </si>
  <si>
    <t>Tubular Poles</t>
  </si>
  <si>
    <t>Lot no. E - 17</t>
  </si>
  <si>
    <t>All Alum scrap</t>
  </si>
  <si>
    <t>Alu scrap of damaged T/F accessories</t>
  </si>
  <si>
    <t>Copper scrap</t>
  </si>
  <si>
    <t>Piller box scrap</t>
  </si>
  <si>
    <t>Iron scrap of Bush fixings</t>
  </si>
  <si>
    <t>CS PATIALA  (U/S STABLIZERS)</t>
  </si>
  <si>
    <t>WNP-23 (unstandard tf's)</t>
  </si>
  <si>
    <t>Lot No AA-2</t>
  </si>
  <si>
    <t>Lot No. I-16</t>
  </si>
  <si>
    <t>Lot No. I-17</t>
  </si>
  <si>
    <t>Lot No. I-18</t>
  </si>
  <si>
    <t>25 KVA (CORE &amp; TANK)</t>
  </si>
  <si>
    <t xml:space="preserve">ME LAB ROPAR  (Electronic Meter Scrap/E-Waste )  </t>
  </si>
  <si>
    <t>DTPL-1</t>
  </si>
  <si>
    <t>PP-2, ARD-1,PTEL-1,SARAF-1</t>
  </si>
  <si>
    <t>WNP-19 (unstandard tf's)</t>
  </si>
  <si>
    <t>63 KVA (CORE &amp; TANK)</t>
  </si>
  <si>
    <t>SARAF-2, MRN-2, PP-2, JR-1, PTEL-1, NPC-1,SIC-1</t>
  </si>
  <si>
    <t>Tubular Poles scrap</t>
  </si>
  <si>
    <t xml:space="preserve">ME LAB BATHINDA  (Electronic Meter Scrap/E-Waste )  </t>
  </si>
  <si>
    <t xml:space="preserve">ME LAB MOGA (Electronic Meter Scrap/E-Waste )  </t>
  </si>
  <si>
    <t>Lot No. I-19</t>
  </si>
  <si>
    <t>Lot No. I-20</t>
  </si>
  <si>
    <t>Lot no. Q-29</t>
  </si>
  <si>
    <t>CS Ferozepur (.015 MT Intermingle)</t>
  </si>
  <si>
    <t>Lot No A-18</t>
  </si>
  <si>
    <t>Lot no. G - 12</t>
  </si>
  <si>
    <t>OL Shri Mukatsar Sahib</t>
  </si>
  <si>
    <t>JINDAL-1, PP-3,SIC-1,JAY BEE-1,ECO POWER-1,SARAF-2,SKYWAY-1,NUCON-1</t>
  </si>
  <si>
    <t>PME-5,TA-6,PP-1,MRN-3,JAY BEE-5,SAPA-2,ELECTRA-2,JR-1</t>
  </si>
  <si>
    <t>CAPITAL-4,ELECTRA-4,JR-1,TA-4,SARAF-2,JAY BEE-2,PME-5,MARSON-2,PTEL-1</t>
  </si>
  <si>
    <t>PME-5, BHOPAL-2,SIC-1,ELECTRA-2,TA-4,JAY BEE-4,JR-2</t>
  </si>
  <si>
    <t>MRN-3,JR-4,SARAF-5,PME-5,PTEL-2,JAY BEE-4,ELECTRA-4,TA-3</t>
  </si>
  <si>
    <t xml:space="preserve">25 KVA </t>
  </si>
  <si>
    <t xml:space="preserve">63 KVA </t>
  </si>
  <si>
    <t xml:space="preserve">100 KVA </t>
  </si>
  <si>
    <t>WNP-22 (unstandard tf's)</t>
  </si>
  <si>
    <t>WNP-11 (unstandard tf's)</t>
  </si>
  <si>
    <t>PTEL 1, NUCON 3, NPC 3, SKYWAY 1, JR 2, SHRIKRISNA 1, SHIVA WELD 2, PP 2, TA 2</t>
  </si>
  <si>
    <t>SICL 2, JR 3, MAHASHKTI 1, AGARWAL 1, UTTAM 1</t>
  </si>
  <si>
    <t>JB 3, SICL 8, ARDISON 1, PTEL 1, ECO 2</t>
  </si>
  <si>
    <t>JR 1, JB 1</t>
  </si>
  <si>
    <t>SAPA 1, SHIVSHKTI 1</t>
  </si>
  <si>
    <t>JB 2, NPC 2</t>
  </si>
  <si>
    <t>UTTAM 1, SHIVSHKTI 1</t>
  </si>
  <si>
    <t>63 KVA (amorphous core)</t>
  </si>
  <si>
    <t>NUCON 2, NPC 1,</t>
  </si>
  <si>
    <t>JB 1</t>
  </si>
  <si>
    <t>NUCON 1, SICL 2, MANU 2</t>
  </si>
  <si>
    <t>Lot no. G - 13</t>
  </si>
  <si>
    <t>PP 1, JR 1, NUCON 1(unstandard tf's)</t>
  </si>
  <si>
    <t>PP 1, SHIVSHKTI 1, KISAN 1 (unstandard tf's)</t>
  </si>
  <si>
    <t>Lot no. E - 19</t>
  </si>
  <si>
    <t>G.I. Wire/GSL scrap</t>
  </si>
  <si>
    <t>Lot No B-11</t>
  </si>
  <si>
    <t>SICL-1,MAHASHAKTI-1,SKYWAY-1,NPC-1</t>
  </si>
  <si>
    <t>UTTAM-2,SICL-1,NUCON-2,SBI-1,MAHASHAKTI-1,TA-1</t>
  </si>
  <si>
    <t>JB-2</t>
  </si>
  <si>
    <t>SHIVSHAKTI-2,SICL-1</t>
  </si>
  <si>
    <t>200 KVA</t>
  </si>
  <si>
    <t>PME-1</t>
  </si>
  <si>
    <t>SE-2(unstandard tf's)</t>
  </si>
  <si>
    <t>SE-1(unstandard tf's)</t>
  </si>
  <si>
    <t>Lot no. E - 20</t>
  </si>
  <si>
    <t>Lot no. E - 21</t>
  </si>
  <si>
    <t>Lot no. G - 14</t>
  </si>
  <si>
    <t>M.S Iron scrap</t>
  </si>
  <si>
    <t>NUCON-3,MAHASHAKTI-5,MANUPOWER-1,SICL-1</t>
  </si>
  <si>
    <t>Lot no. E - 22</t>
  </si>
  <si>
    <t>Lot no. E - 23</t>
  </si>
  <si>
    <t>Lot No B-12</t>
  </si>
  <si>
    <t>Lot No B-13</t>
  </si>
  <si>
    <t>PPI-2</t>
  </si>
  <si>
    <t>PTEL-1,UBE-1,NSL-2,JB-2,NPC-1,KSM-1</t>
  </si>
  <si>
    <t>PPI-5,MRN-1,JB-1,SST-2,NPC-2,SEF-1</t>
  </si>
  <si>
    <t>AMN=2</t>
  </si>
  <si>
    <t>NSL-2</t>
  </si>
  <si>
    <t>ARD-2,SBJ-1</t>
  </si>
  <si>
    <t>SIC-1,NSL-1,UBE-1</t>
  </si>
  <si>
    <t>JR-1, JB-3, TA-1, ELECTRA-1, SIC-1, NSL-1, SEN-1</t>
  </si>
  <si>
    <t>400 KVA</t>
  </si>
  <si>
    <t>500 KVA</t>
  </si>
  <si>
    <t>58/2023</t>
  </si>
  <si>
    <t>SKYWAY=1</t>
  </si>
  <si>
    <t>59/2023</t>
  </si>
  <si>
    <t>NUCON=2</t>
  </si>
  <si>
    <t>61/2023</t>
  </si>
  <si>
    <t>SAPA=1,JR T/F=1</t>
  </si>
  <si>
    <t>NUCON=1,SICL=1</t>
  </si>
  <si>
    <t>100KVA</t>
  </si>
  <si>
    <t>MODREN T/F=1,BHOPAL=1</t>
  </si>
  <si>
    <t>60/2023</t>
  </si>
  <si>
    <t>WNP=2(unstandard tf"s))</t>
  </si>
  <si>
    <t>Lot no. G - 15</t>
  </si>
  <si>
    <t>Lot no. Q-30</t>
  </si>
  <si>
    <t>Lot No A-19</t>
  </si>
  <si>
    <t>M.S. Girder Scrap</t>
  </si>
  <si>
    <t>MS Nuts &amp; bolts scrap</t>
  </si>
  <si>
    <t>Cast Iron Scrap</t>
  </si>
  <si>
    <t>Lamination scrap</t>
  </si>
  <si>
    <t>Lot no. E - 24</t>
  </si>
  <si>
    <t>Lot no. G - 16</t>
  </si>
  <si>
    <t>OLNabha</t>
  </si>
  <si>
    <t>PTEL-1,NUCON-1</t>
  </si>
  <si>
    <t>NUCON-2,JR-3,AGGARWAL-3,MS-4,SUSHIL-2,PP-1,DAUSA-1,PUNJAB-1,DUABLE-1</t>
  </si>
  <si>
    <t xml:space="preserve">10KVA </t>
  </si>
  <si>
    <t>100 KVA (CORE &amp; TANK)</t>
  </si>
  <si>
    <t>200 KVA (CORE &amp; TANK)</t>
  </si>
  <si>
    <t>NUCON-9, JR-6, ECO-1, JB-1, AGGARWAL-2, PAN-1, MS-2, PTEL-3, SICL-2, DURA-1</t>
  </si>
  <si>
    <t>NUCON-3, JR-3, ECO-1</t>
  </si>
  <si>
    <t>STAR/TA-1, KISSAN-1, TA-1, TA/SICL-1, JB-1, LIBERTY/TA-1, HR POWER-1, STAR/MS-1, JINDAL-1</t>
  </si>
  <si>
    <t>LIBERTY/TA-1, JB/TA-1, S.KRISHNA/TA-1, SARAF/SICL-1,JM/SICL-1, DM/TA-1</t>
  </si>
  <si>
    <t>JK/TA-1, MECCA-1, JB-1, STAR/SICL-1, DM/MS-1,DM/SICL-1, DM/PP-1, JB-1</t>
  </si>
  <si>
    <t>SONI-02,JB-06,PP-01,STAR-02,PATIALA WORK SHOP-01,MUKAND-01,JK-02,SWASTIK-03,DM-01,GTB-1,LIBERTY-1,PTEL-01,NUCON-01</t>
  </si>
  <si>
    <t>WNP-16 (unstandard tf's)</t>
  </si>
  <si>
    <t>WNP-10 (unstandard tf's)</t>
  </si>
  <si>
    <t>LIBERTY -8</t>
  </si>
  <si>
    <t>KKK/2024/001</t>
  </si>
  <si>
    <t xml:space="preserve">DTPL = 1, HRP = 1, SHK = 2, NPC = 3, JR = 1, MCPL = 1,JB = 1, TA = 1                                                                                     </t>
  </si>
  <si>
    <t>KKK/2024/003</t>
  </si>
  <si>
    <t xml:space="preserve">DTPL = 1, PP = 1, JB = 1                                                                                 </t>
  </si>
  <si>
    <t>KKK/2024/005</t>
  </si>
  <si>
    <t>KKK/2024/002</t>
  </si>
  <si>
    <t xml:space="preserve">ARD = 2, SIC = 3                                                                           </t>
  </si>
  <si>
    <t>KKK/2024/004</t>
  </si>
  <si>
    <t>KKK/2024/006</t>
  </si>
  <si>
    <t xml:space="preserve">6.3  KVA                     </t>
  </si>
  <si>
    <t xml:space="preserve">SEWAK = 01 NO. (unstandard tf's)                                                                                                </t>
  </si>
  <si>
    <t xml:space="preserve">6.3 KVA                    </t>
  </si>
  <si>
    <t xml:space="preserve">WNP = 05 NO.(unstandard tf's)                                                                          </t>
  </si>
  <si>
    <t xml:space="preserve">WNP = 04 NO. (unstandard tf's)                                                                         </t>
  </si>
  <si>
    <t xml:space="preserve">10  KVA               </t>
  </si>
  <si>
    <t>DURABALE-1</t>
  </si>
  <si>
    <t>S-KRISHNA-1 PTEL-1</t>
  </si>
  <si>
    <t>JB-2,PTEL-1</t>
  </si>
  <si>
    <t>UTTAM-1 SICL-1</t>
  </si>
  <si>
    <t>NUCON-2,TA-1,SARAF-1</t>
  </si>
  <si>
    <t>6:3 KVA</t>
  </si>
  <si>
    <t>63 KVA(CORE &amp; TANK)</t>
  </si>
  <si>
    <t>25 KVA(CORE&amp; TANK)</t>
  </si>
  <si>
    <t>25 KVA(CORE &amp; TANK)</t>
  </si>
  <si>
    <t>WNP-20 (unstandard tf's)</t>
  </si>
  <si>
    <t>WNP-4 (unstandard tf's)</t>
  </si>
  <si>
    <t>DURGA-10</t>
  </si>
  <si>
    <t>DURGA-20</t>
  </si>
  <si>
    <t>DURGA-12</t>
  </si>
  <si>
    <t>Lot No B-14</t>
  </si>
  <si>
    <t>SHIV SHAKTI-1,AGGARWAL-1,JR-1,MS-3,PP-1,SARAF-1</t>
  </si>
  <si>
    <t>SARAF-2,NUCON-2,PTEL-1</t>
  </si>
  <si>
    <t>LIBERTY-4</t>
  </si>
  <si>
    <t>TA-1,MS-1,UP-1,JB-2,ELECTRA-1,SARAF-1,SAPA-4</t>
  </si>
  <si>
    <t>JB-6,PME-2,ELECTRA-2,NUCON-3</t>
  </si>
  <si>
    <t>SHRI KRISHNA-1,JB-2,SICL-1,ELECTRA-1,PME-1</t>
  </si>
  <si>
    <t>WNP-6 (unstandard tf's)</t>
  </si>
  <si>
    <t>Lot No B-15</t>
  </si>
  <si>
    <t>Lot No B-16</t>
  </si>
  <si>
    <t>Lot No B-17</t>
  </si>
  <si>
    <t>Lot no. E - 25</t>
  </si>
  <si>
    <t>Lot No B-18</t>
  </si>
  <si>
    <t>Lot no. Q-31</t>
  </si>
  <si>
    <t>Lot no. Q-32</t>
  </si>
  <si>
    <t>Lot no. Q-33</t>
  </si>
  <si>
    <t>UTTAM-1,WNP-15 (unstandard tf's)</t>
  </si>
  <si>
    <t>SEN-4,JB-2,ECE-1,ELECTRA-3,TA-1</t>
  </si>
  <si>
    <t>NSL-1,SIC-2,SEN-1,ELECTRA-1,PME-1</t>
  </si>
  <si>
    <t>Lot no. Q-34</t>
  </si>
  <si>
    <t>q5 lot and q 34 (out od 4.112…2 mt separate)</t>
  </si>
  <si>
    <t>Lot No B-19</t>
  </si>
  <si>
    <t>Lot No B-20</t>
  </si>
  <si>
    <t xml:space="preserve">CS Kotkapura </t>
  </si>
  <si>
    <t>Lot no. Q-9</t>
  </si>
  <si>
    <t>SICL-1</t>
  </si>
  <si>
    <t>HI TECH-1</t>
  </si>
  <si>
    <t>JR-1</t>
  </si>
  <si>
    <t>PP-1 (unstandard tf's)</t>
  </si>
  <si>
    <t>PTEL-3,  DTPL-1, NUCON-1, SICL-3, HRP-1, PPI-4, MCPL-1</t>
  </si>
  <si>
    <t>HITECH-3,JB-18,EPS-6,SONI-1,JINDAL-1,SHIVALIK-1</t>
  </si>
  <si>
    <t>JB-15,EPS-9,HITECH-5,JINDAL-1</t>
  </si>
  <si>
    <t>JB-22,HITECH-2,EPS-5,JINDAL-1</t>
  </si>
  <si>
    <t>JB-17,HITECH-4,EPS-8,JR-1</t>
  </si>
  <si>
    <t>JB-16,MP-2,JINDAL-1,EPS-10,HITECH-1</t>
  </si>
  <si>
    <t>JB-18,ARD-8,SHIVA-3,EPS-1</t>
  </si>
  <si>
    <t>JB-10,ARD-12,DURABLE-1,SHIVA-2,EPS-5</t>
  </si>
  <si>
    <t>SHIVA-5,JB-10,EPS-6,ARD-7,HITECH-1,JINDAL-1</t>
  </si>
  <si>
    <t>EPS-11,JB-10,ARD-6,SHIVA-2,HITECH-1</t>
  </si>
  <si>
    <t>EPS-2,JB-14,ARD-10,SHIVA-4</t>
  </si>
  <si>
    <t>JB-13,ARD-13,EPS-4</t>
  </si>
  <si>
    <t>EPS-10,JB-11,ARD-6,SHIVA-2,JR-1</t>
  </si>
  <si>
    <t>JB-18,EPS-7,HITECH-4,NBGL-1</t>
  </si>
  <si>
    <t>EPS-11,NBGL-1,HITECH-3,JB-14,JINDAL-1</t>
  </si>
  <si>
    <t>EPS-8,JB-17,HITECH-3,JINDAL-1,ARD-1</t>
  </si>
  <si>
    <t>JB-15,EPS-9,HITECH-3,MP-1,SHIVALIK-1,NBGL-1</t>
  </si>
  <si>
    <t>JB-13,JINDAL-1,EPS-3,HITECH-2,SICL-1</t>
  </si>
  <si>
    <t>JB-10,EPS-8,NBGL-1,ARD-9,SHIVA-2</t>
  </si>
  <si>
    <t>JB-17,EPS-5,ARD-6,SHIVA-1,JINDAL-1</t>
  </si>
  <si>
    <t>JB-17,ARD-6,SHIVA-2,EPS-4,NBGL-1</t>
  </si>
  <si>
    <t>EPS-7,JB-17,ARD-4,SHIVA-2</t>
  </si>
  <si>
    <t>SHIVA-6,JB-16,ARD-6,EPS-2</t>
  </si>
  <si>
    <t>JB-15,EPS-7,NBGL-2,ARD-6</t>
  </si>
  <si>
    <t>EPS-9,SHIVA-2,JB-14,ARD-3</t>
  </si>
  <si>
    <t>CS PATIALA  (U/S AC SPLIT)</t>
  </si>
  <si>
    <t>U/S Typewriters</t>
  </si>
  <si>
    <t>Lot No. I-9</t>
  </si>
  <si>
    <t>Lot no. E - 26</t>
  </si>
  <si>
    <t>S &amp; T Store Bathinda (1.367 MT Intermingle)</t>
  </si>
  <si>
    <t>Lot no. Q-35</t>
  </si>
  <si>
    <t>U/S Ceiling Fans</t>
  </si>
  <si>
    <t>JB-1,SICL-2,ECO-1,PP-3,MS-2,SKYWAY-1</t>
  </si>
  <si>
    <t>MS-3,PAN-1</t>
  </si>
  <si>
    <t>NUCON-1,AGGARWAL-1</t>
  </si>
  <si>
    <t>WNP-8 (unstandard tf's)</t>
  </si>
  <si>
    <t>JINDAL-2,ECO-3,PVJ-2,JB-3,SHIVA-1,NB-2,SHIVALIK-1,JR-1</t>
  </si>
  <si>
    <t>SIC= 01,STAR=01,JR=05,DURABLE=01,PP=01</t>
  </si>
  <si>
    <t>PP=06,NUCON=01,JR=01,JAY BEE=01,DURABLE=02,TA=01</t>
  </si>
  <si>
    <t>NV=01,IACL-01,UTTAM=01,PTEL=02,TA=05,SIC=01,STAR=02,SWASTIK=01,JB=04,LIBERTY=02,ELECTRA=2,SONI=01,SAPA=04,PME=3,SARAF=01</t>
  </si>
  <si>
    <t>ECO-1 JB-1</t>
  </si>
  <si>
    <t>Lot No A-17</t>
  </si>
  <si>
    <t>Lot no. Q-36</t>
  </si>
  <si>
    <t>PP-1</t>
  </si>
  <si>
    <t>UTTAM-1</t>
  </si>
  <si>
    <t>SICL-1,SE-1,PTEL-1</t>
  </si>
  <si>
    <t>ARD-1</t>
  </si>
  <si>
    <t>ELECTRA-1,JB-1,PME-1,NUCON-1,SICL-1</t>
  </si>
  <si>
    <t>MARSON-1</t>
  </si>
  <si>
    <t>DURABLE-1</t>
  </si>
  <si>
    <t>200 KVA(CORE &amp; TANK)</t>
  </si>
  <si>
    <t>SE-1,JB-1(unstandard tf's)</t>
  </si>
  <si>
    <t>DURABLE-1(unstandard tf's)</t>
  </si>
  <si>
    <t>Lot no. E - 27</t>
  </si>
  <si>
    <t>Lot No B-21</t>
  </si>
  <si>
    <t>CS Malout (.133 MT Intermingle)</t>
  </si>
  <si>
    <t>CS Patiala (.01 MT Intermingle)</t>
  </si>
  <si>
    <t>Outlet store Nabha</t>
  </si>
  <si>
    <t>OLRajpura</t>
  </si>
  <si>
    <t>CS Bathinda (.135 MT intermingle)</t>
  </si>
  <si>
    <t>Outlet store Bhagta Bhai Ka (.18 MT Intermingle)</t>
  </si>
  <si>
    <t>Lot no. E - 28</t>
  </si>
  <si>
    <t>CS KOTKAPURA (U/S AC WINDOW)</t>
  </si>
  <si>
    <t>Lot No. I-21</t>
  </si>
  <si>
    <t>CS Mohali (.134 MT intermingle)</t>
  </si>
  <si>
    <t>Lot no. G - 17</t>
  </si>
  <si>
    <r>
      <t xml:space="preserve">Lot No. C 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</si>
  <si>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</si>
  <si>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</si>
  <si>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</si>
  <si>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 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SANGRUR</t>
    </r>
  </si>
  <si>
    <r>
      <t xml:space="preserve">Lot No. C 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</si>
  <si>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</si>
  <si>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10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</si>
  <si>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11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</si>
  <si>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12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</si>
  <si>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r>
      <t xml:space="preserve">Lot No. C 13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</si>
  <si>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r>
      <t xml:space="preserve">Lot No. C 14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</si>
  <si>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r>
      <t xml:space="preserve">Lot No. C 15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MOHALI</t>
    </r>
  </si>
  <si>
    <r>
      <t xml:space="preserve">Lot No. C 16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</si>
  <si>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r>
      <t xml:space="preserve">Lot No. C 17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</si>
  <si>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C18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</si>
  <si>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19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</si>
  <si>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r>
      <t xml:space="preserve">Lot No. C 20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MOGA</t>
    </r>
  </si>
  <si>
    <r>
      <t xml:space="preserve">Lot No. C 21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</si>
  <si>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r>
      <t xml:space="preserve">Lot No. C 22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</si>
  <si>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23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</si>
  <si>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r>
      <t xml:space="preserve">Lot No. C 24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</si>
  <si>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r>
      <t xml:space="preserve">Lot No. C 25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</si>
  <si>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 26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</si>
  <si>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r>
      <t xml:space="preserve">Lot No. C 27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</si>
  <si>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28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</si>
  <si>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t>MS-3,DTPL-2,SARAF-3,NUCON-4,PPI-2,HR-1,JB-5             PTEL-1</t>
  </si>
  <si>
    <t>TA-1,JB-5,ECE-1,ELECTRA-1,PME-1,SAPA-3,PTEL-1 SIC-1, CAPITAL-1</t>
  </si>
  <si>
    <t>JR-1,JB-1,MARSON-1,NUCON-2</t>
  </si>
  <si>
    <t>ECO-1,JB-1</t>
  </si>
  <si>
    <t>WNP-21 (unstandard tf's)</t>
  </si>
  <si>
    <t>UTTAM-1(unstandard tf's)</t>
  </si>
  <si>
    <r>
      <t xml:space="preserve">Lot No. C 29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SANGRUR</t>
    </r>
  </si>
  <si>
    <t>01/2024.</t>
  </si>
  <si>
    <t>UTTAM-1, JR-1</t>
  </si>
  <si>
    <t>02/2024.</t>
  </si>
  <si>
    <t>SKYWAY-1, NPC-1</t>
  </si>
  <si>
    <t>04/2024.</t>
  </si>
  <si>
    <t>TA-1, PME-1</t>
  </si>
  <si>
    <t>SHIV SHAKTI-1, TA-1</t>
  </si>
  <si>
    <t>03/2024.</t>
  </si>
  <si>
    <t>PP-1, SHIVALIK-2</t>
  </si>
  <si>
    <t>PTEL-1, SICL-3, MS-2, PP-1, UTTAM-1, NUCON-4, SARAF-2, SHIVALIK-4, SHIV SAKTI-1, SKY WAY-1</t>
  </si>
  <si>
    <t>JB-1, ELECTORA-1</t>
  </si>
  <si>
    <t>PTEL-1, BGL-1,JB-1</t>
  </si>
  <si>
    <t>JB-1 PTEL-1</t>
  </si>
  <si>
    <t>WNP-15  (unstandard tf's)</t>
  </si>
  <si>
    <t>WNP-3  (unstandard tf's)</t>
  </si>
  <si>
    <r>
      <t xml:space="preserve">Lot No. C 30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</si>
  <si>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r>
      <t xml:space="preserve">Lot No. C 31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</si>
  <si>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t>ptel-3,nbg-1,ta-1,uttam-1,sicl-1,ppi-1,saraf-1,dtpl-1,jb-1</t>
  </si>
  <si>
    <t>npc-1</t>
  </si>
  <si>
    <t>jb-3,nucon-2,ptel-5,uttam-2,sapa-2,sicl-4,ta-2,saraf-2,westen-1,alfa-1-s/shakti-1</t>
  </si>
  <si>
    <t>443/1</t>
  </si>
  <si>
    <t>nucon-2,alfa-1,saraf-2,ta-3,ptel-5,pp-3,sicl-5,mcpl-3,npc-1</t>
  </si>
  <si>
    <t>443/2</t>
  </si>
  <si>
    <t>sicl-1,mcpl-2,sapa-6,pp-3,ta-5,jindal-1,npc-1,marson-1,saraf-3,s/shakti-1,jb-1</t>
  </si>
  <si>
    <t>JR 1, NUCON 2, NPC 3</t>
  </si>
  <si>
    <t>UTTAM 2, PP 2, SKYWAY 1, ECO 1,</t>
  </si>
  <si>
    <t>DURABLE 1</t>
  </si>
  <si>
    <t>JB 2, SICL 2, ARDISON 1,</t>
  </si>
  <si>
    <t>NUCON 1, SICL 1,</t>
  </si>
  <si>
    <t>63 KVA (BODY &amp; CORE)</t>
  </si>
  <si>
    <t>UTTAM 2, MANU 1, SICL 1</t>
  </si>
  <si>
    <t>JR 1(unstandard tf's)</t>
  </si>
  <si>
    <t>AGARWAL 2 (unstandard tf's)</t>
  </si>
  <si>
    <t>ARDISON 7, JB 8, ECO 4, SICL 1, NUCON 1, NBGL 1, JBK 1, MAHASHAKTI 1, SARAF 2, HR POWER 1, HITECH 2, PTEL 1, JINDAL 1</t>
  </si>
  <si>
    <r>
      <t xml:space="preserve">Lot No. C 32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</si>
  <si>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33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</si>
  <si>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r>
      <t xml:space="preserve">Lot No. C 34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</si>
  <si>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t>SKYWAY - 1</t>
  </si>
  <si>
    <t>PP-2,SARAF-2,MRN-2,UTTAM-1,NPC-1,BGL-1,DTPL-1, SKYWAY - 1</t>
  </si>
  <si>
    <t>MRN-2, TA-1, SARAF-2, PME-1, PP-2, PTEL-1, SIC-1</t>
  </si>
  <si>
    <r>
      <t xml:space="preserve">Lot No. C 35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</si>
  <si>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t>MS=01,PP=01,PTL=01</t>
  </si>
  <si>
    <t>DURABLE=01</t>
  </si>
  <si>
    <t>JR= 01,NV=01,NPC=01,JAY BEE=01</t>
  </si>
  <si>
    <t>LIBERTY=02,JAY BEE=01,SONI=02,SWASTIK=02,JK=01,BANSAL=01</t>
  </si>
  <si>
    <r>
      <t xml:space="preserve">Lot No. C 36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</si>
  <si>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>KKK/2024/010</t>
  </si>
  <si>
    <t xml:space="preserve">SHK = 2, SEF = 2, NSL = 1, JR = 1, WNP = 1, TA = 2, UBE = 1, PP = 1, DTPL = 2, HRP = 1                                                                           </t>
  </si>
  <si>
    <t>KKK/2024/011</t>
  </si>
  <si>
    <t xml:space="preserve">SSK = 1                                                                                                        </t>
  </si>
  <si>
    <t>KKK/2024/012</t>
  </si>
  <si>
    <t xml:space="preserve">MRN = 1, SIC = 1, ASI = 2, JB = 1                                                                                                                                                 </t>
  </si>
  <si>
    <t>KKK/2024/009</t>
  </si>
  <si>
    <t xml:space="preserve">ARD = 1, JB = 2                                                                     </t>
  </si>
  <si>
    <t>KKK/2024/013</t>
  </si>
  <si>
    <t xml:space="preserve">SIC = 1                                                                                                         </t>
  </si>
  <si>
    <t>KKK/2024/014</t>
  </si>
  <si>
    <t xml:space="preserve">SIC = 4, DTPL = 1, JB = 1, NPC = 2, PP = 1, TA = 1, SEF = 1 </t>
  </si>
  <si>
    <t>KKK/2024/007</t>
  </si>
  <si>
    <t xml:space="preserve">WNP = 08 NO.  (unstandard tf's)                                                                     </t>
  </si>
  <si>
    <t>KKK/2024/008</t>
  </si>
  <si>
    <t>25 KVA (BODY &amp; CORE)</t>
  </si>
  <si>
    <r>
      <t xml:space="preserve">Lot No. C 37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</si>
  <si>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t xml:space="preserve">10 KVA                    </t>
  </si>
  <si>
    <t xml:space="preserve">ME LAB SHRI MUKTSAR SAHIB (Electronic Meter Scrap/E-Waste )  </t>
  </si>
  <si>
    <t>Lot No. I-22</t>
  </si>
  <si>
    <t>1/2024.</t>
  </si>
  <si>
    <t>2/2024.</t>
  </si>
  <si>
    <t>4/2024.</t>
  </si>
  <si>
    <t>3/2024.</t>
  </si>
  <si>
    <t>6/2024.</t>
  </si>
  <si>
    <t>9/2024.</t>
  </si>
  <si>
    <t>7/2024.</t>
  </si>
  <si>
    <t>8/2024.</t>
  </si>
  <si>
    <t>5/2024.</t>
  </si>
  <si>
    <t>EA-71 /PTA-2023-24</t>
  </si>
  <si>
    <t>20.02.2024</t>
  </si>
  <si>
    <t>DURABLE=4,GTB=1,JR=11,NBGL=1,NUCON=1,NV=1,SARAF=1,TA=1,UTTAM=1</t>
  </si>
  <si>
    <t>ARD=1,DURABLE=1,GTB=1,HRP=1,JM=1,JR=2,MS=4,NUCON=4,PP=2,PTEL=1,SARAF=1,SHIVA=1,SICL=4,UTTAM=1</t>
  </si>
  <si>
    <t>AGGARWAL=1,AMSON=1,HRP=3,JB=2,JR=4,MS=3,NUCON=2,PP=3,PTEL=1,SARAF-1,SHIVA=1,SICL=1,TA=2</t>
  </si>
  <si>
    <t>AGGARWAL=1,DURABLE=1,HRP=1,JB=1,JM=2,JR=3,MS=2,NA=1,NUCON=2,PP=3,PTEL=2,SARAF-3,SICL=1,TA=2</t>
  </si>
  <si>
    <t>AGGARWAL=2,HRP=5,JB=3,JM=1,JR=2,MS=2,NUCON=4,NV=1,PP=1,SARAF=1,SHIVA=1,TA=2</t>
  </si>
  <si>
    <t>ARD=1,ECO=3,GTB=1,JB=4,JINDAL=2,JK=1,JM=1,JR=9,NUCON=4,STAR=1</t>
  </si>
  <si>
    <t>SWASTIK=1,JB/NV=1,SARAF=1,FM=1,SONI=2,JR=1,PTEL=1,JK=1</t>
  </si>
  <si>
    <t>SK=1,MS=1,JR/JK=1</t>
  </si>
  <si>
    <t>MANU=2,NUCON=15,SICL=9,UTTAM=3,  VIJAY=1</t>
  </si>
  <si>
    <t>MANU=3,NUCON=7,SICL=1,UTTAM=7,VIJAY=5</t>
  </si>
  <si>
    <t>DM=2,SICL=2,NUCON=1,MS=2,JR=1,STAR=1,KARTAR=1,JB=1</t>
  </si>
  <si>
    <t>AMSON=1,HRP=1,JB=2,JM=2,JR=1,MS=6,NUCON=1,PTEL=3,SARAF=1,SICL=2,SUSHIL=1,TA=3, PP-1</t>
  </si>
  <si>
    <r>
      <t xml:space="preserve">Lot No. C 38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MALOUT</t>
    </r>
  </si>
  <si>
    <t>Lot no. E - 29</t>
  </si>
  <si>
    <t>new</t>
  </si>
  <si>
    <r>
      <t xml:space="preserve">Lot No. C 39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MALOUT</t>
    </r>
  </si>
  <si>
    <t xml:space="preserve">NOTE : Before lifting of Transformers (From Lot no. C-1 to C-39), HT/LT copper winding coils of transformers shall be mutilated by the purchaser. </t>
  </si>
  <si>
    <t>GSS wire scrap</t>
  </si>
  <si>
    <t>PCP-4990</t>
  </si>
  <si>
    <t>POWER COLONY NO 1 MODEL TOWN PATIALA</t>
  </si>
  <si>
    <t>L-4</t>
  </si>
  <si>
    <t>MAHINDRA PICK UP  WITHOUT HYDRAULIC CRANE SYSTEM (1985)</t>
  </si>
  <si>
    <t>CIVIL LINES TECH S/D PATIALA 96461-28609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</si>
</sst>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"/>
    <numFmt numFmtId="183" formatCode="0.0"/>
    <numFmt numFmtId="184" formatCode="0.000"/>
    <numFmt numFmtId="185" formatCode="0.0000"/>
    <numFmt numFmtId="186" formatCode="0.00000"/>
    <numFmt numFmtId="187" formatCode="[$-409]dddd\,\ mmmm\ dd\,\ yyyy"/>
    <numFmt numFmtId="188" formatCode="[$-409]h:mm:ss\ AM/PM"/>
    <numFmt numFmtId="189" formatCode="[$-4009]dd\ mmmm\ yyyy"/>
    <numFmt numFmtId="190" formatCode="[$-F800]dddd\,\ mmmm\ dd\,\ yyyy"/>
    <numFmt numFmtId="191" formatCode="dd\-mm\-yyyy"/>
  </numFmts>
  <fonts count="9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omic Sans MS"/>
      <family val="4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u val="single"/>
      <sz val="10"/>
      <color indexed="36"/>
      <name val="Arial"/>
      <family val="2"/>
    </font>
    <font>
      <b/>
      <sz val="9"/>
      <color indexed="36"/>
      <name val="Arial"/>
      <family val="2"/>
    </font>
    <font>
      <b/>
      <u val="single"/>
      <sz val="11"/>
      <color indexed="36"/>
      <name val="Arial"/>
      <family val="2"/>
    </font>
    <font>
      <b/>
      <u val="single"/>
      <sz val="12"/>
      <color indexed="36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36"/>
      <name val="Arial"/>
      <family val="2"/>
    </font>
    <font>
      <b/>
      <sz val="11"/>
      <name val="Calibri"/>
      <family val="2"/>
    </font>
    <font>
      <b/>
      <sz val="11"/>
      <color indexed="10"/>
      <name val="Times New Roman"/>
      <family val="1"/>
    </font>
    <font>
      <b/>
      <u val="single"/>
      <sz val="10"/>
      <color indexed="17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1"/>
      <color indexed="8"/>
      <name val="Comic Sans MS"/>
      <family val="4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rgb="FF7030A0"/>
      <name val="Arial"/>
      <family val="2"/>
    </font>
    <font>
      <b/>
      <sz val="9"/>
      <color rgb="FF7030A0"/>
      <name val="Arial"/>
      <family val="2"/>
    </font>
    <font>
      <b/>
      <u val="single"/>
      <sz val="11"/>
      <color rgb="FF7030A0"/>
      <name val="Arial"/>
      <family val="2"/>
    </font>
    <font>
      <b/>
      <sz val="11"/>
      <color rgb="FFFF0000"/>
      <name val="Arial"/>
      <family val="2"/>
    </font>
    <font>
      <b/>
      <u val="single"/>
      <sz val="12"/>
      <color rgb="FF7030A0"/>
      <name val="Arial"/>
      <family val="2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rgb="FF00B05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rgb="FF7030A0"/>
      <name val="Arial"/>
      <family val="2"/>
    </font>
    <font>
      <b/>
      <sz val="11"/>
      <color rgb="FFFF0000"/>
      <name val="Times New Roman"/>
      <family val="1"/>
    </font>
    <font>
      <b/>
      <u val="single"/>
      <sz val="10"/>
      <color rgb="FF00B050"/>
      <name val="Arial"/>
      <family val="2"/>
    </font>
    <font>
      <b/>
      <u val="single"/>
      <sz val="11"/>
      <color rgb="FFFF0000"/>
      <name val="Arial"/>
      <family val="2"/>
    </font>
    <font>
      <b/>
      <sz val="10"/>
      <color rgb="FF00B050"/>
      <name val="Arial"/>
      <family val="2"/>
    </font>
    <font>
      <b/>
      <u val="single"/>
      <sz val="11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71" fillId="0" borderId="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center" wrapText="1"/>
    </xf>
    <xf numFmtId="0" fontId="72" fillId="0" borderId="14" xfId="0" applyFont="1" applyFill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vertical="center"/>
    </xf>
    <xf numFmtId="0" fontId="72" fillId="0" borderId="16" xfId="0" applyFont="1" applyFill="1" applyBorder="1" applyAlignment="1">
      <alignment vertical="center"/>
    </xf>
    <xf numFmtId="0" fontId="73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left" vertical="center" wrapText="1"/>
    </xf>
    <xf numFmtId="0" fontId="74" fillId="0" borderId="18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center" vertical="top"/>
    </xf>
    <xf numFmtId="0" fontId="78" fillId="0" borderId="0" xfId="0" applyFont="1" applyAlignment="1">
      <alignment horizontal="center" vertical="top"/>
    </xf>
    <xf numFmtId="0" fontId="78" fillId="0" borderId="0" xfId="0" applyFont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 vertical="top"/>
    </xf>
    <xf numFmtId="1" fontId="79" fillId="0" borderId="0" xfId="0" applyNumberFormat="1" applyFont="1" applyBorder="1" applyAlignment="1">
      <alignment horizontal="center"/>
    </xf>
    <xf numFmtId="0" fontId="80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0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184" fontId="75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184" fontId="9" fillId="0" borderId="13" xfId="0" applyNumberFormat="1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 vertical="center" wrapText="1"/>
    </xf>
    <xf numFmtId="184" fontId="80" fillId="0" borderId="1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4" fontId="75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84" fontId="75" fillId="0" borderId="15" xfId="0" applyNumberFormat="1" applyFont="1" applyFill="1" applyBorder="1" applyAlignment="1">
      <alignment horizontal="center" vertical="center" wrapText="1"/>
    </xf>
    <xf numFmtId="184" fontId="9" fillId="0" borderId="16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84" fontId="75" fillId="0" borderId="0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75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184" fontId="75" fillId="0" borderId="13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top" wrapText="1"/>
    </xf>
    <xf numFmtId="184" fontId="9" fillId="0" borderId="15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78" fillId="0" borderId="13" xfId="0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wrapText="1"/>
    </xf>
    <xf numFmtId="184" fontId="9" fillId="0" borderId="21" xfId="0" applyNumberFormat="1" applyFont="1" applyFill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center"/>
    </xf>
    <xf numFmtId="184" fontId="80" fillId="0" borderId="21" xfId="0" applyNumberFormat="1" applyFont="1" applyFill="1" applyBorder="1" applyAlignment="1">
      <alignment horizontal="center"/>
    </xf>
    <xf numFmtId="0" fontId="80" fillId="0" borderId="16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81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76" fillId="0" borderId="16" xfId="0" applyFont="1" applyFill="1" applyBorder="1" applyAlignment="1">
      <alignment vertical="center"/>
    </xf>
    <xf numFmtId="0" fontId="76" fillId="0" borderId="14" xfId="0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0" fontId="83" fillId="0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/>
    </xf>
    <xf numFmtId="17" fontId="9" fillId="0" borderId="13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horizontal="left" vertical="top" wrapText="1"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/>
      <protection/>
    </xf>
    <xf numFmtId="0" fontId="9" fillId="32" borderId="13" xfId="57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/>
    </xf>
    <xf numFmtId="0" fontId="9" fillId="0" borderId="13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 wrapText="1"/>
      <protection/>
    </xf>
    <xf numFmtId="184" fontId="75" fillId="0" borderId="15" xfId="0" applyNumberFormat="1" applyFont="1" applyFill="1" applyBorder="1" applyAlignment="1">
      <alignment horizontal="right" vertical="center" wrapText="1"/>
    </xf>
    <xf numFmtId="184" fontId="9" fillId="0" borderId="15" xfId="0" applyNumberFormat="1" applyFont="1" applyFill="1" applyBorder="1" applyAlignment="1">
      <alignment horizontal="center"/>
    </xf>
    <xf numFmtId="184" fontId="3" fillId="0" borderId="0" xfId="0" applyNumberFormat="1" applyFont="1" applyFill="1" applyAlignment="1">
      <alignment vertical="top" wrapText="1"/>
    </xf>
    <xf numFmtId="0" fontId="84" fillId="0" borderId="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left" vertical="top" wrapText="1"/>
    </xf>
    <xf numFmtId="184" fontId="75" fillId="0" borderId="23" xfId="0" applyNumberFormat="1" applyFont="1" applyFill="1" applyBorder="1" applyAlignment="1">
      <alignment horizontal="center" vertical="top" wrapText="1"/>
    </xf>
    <xf numFmtId="0" fontId="9" fillId="33" borderId="13" xfId="57" applyFont="1" applyFill="1" applyBorder="1" applyAlignment="1">
      <alignment horizontal="center" vertical="center"/>
      <protection/>
    </xf>
    <xf numFmtId="0" fontId="75" fillId="0" borderId="13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77" fillId="0" borderId="13" xfId="0" applyFont="1" applyBorder="1" applyAlignment="1">
      <alignment/>
    </xf>
    <xf numFmtId="184" fontId="71" fillId="0" borderId="0" xfId="0" applyNumberFormat="1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center" vertical="top" wrapText="1"/>
    </xf>
    <xf numFmtId="184" fontId="75" fillId="0" borderId="0" xfId="0" applyNumberFormat="1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 horizontal="center" vertical="top" wrapText="1"/>
    </xf>
    <xf numFmtId="0" fontId="77" fillId="0" borderId="0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14" fillId="0" borderId="1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2" fontId="9" fillId="0" borderId="13" xfId="0" applyNumberFormat="1" applyFont="1" applyFill="1" applyBorder="1" applyAlignment="1">
      <alignment horizontal="center" vertical="top" wrapText="1"/>
    </xf>
    <xf numFmtId="184" fontId="75" fillId="0" borderId="25" xfId="0" applyNumberFormat="1" applyFont="1" applyFill="1" applyBorder="1" applyAlignment="1">
      <alignment horizontal="center" vertical="top" wrapText="1"/>
    </xf>
    <xf numFmtId="0" fontId="71" fillId="0" borderId="15" xfId="0" applyFont="1" applyFill="1" applyBorder="1" applyAlignment="1">
      <alignment horizontal="center" vertical="top" wrapText="1"/>
    </xf>
    <xf numFmtId="0" fontId="86" fillId="0" borderId="13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top" wrapText="1"/>
    </xf>
    <xf numFmtId="2" fontId="80" fillId="0" borderId="0" xfId="0" applyNumberFormat="1" applyFont="1" applyFill="1" applyBorder="1" applyAlignment="1">
      <alignment horizontal="center" vertical="top" wrapText="1"/>
    </xf>
    <xf numFmtId="0" fontId="80" fillId="0" borderId="0" xfId="0" applyFont="1" applyBorder="1" applyAlignment="1">
      <alignment horizontal="center" vertical="top" wrapText="1"/>
    </xf>
    <xf numFmtId="0" fontId="80" fillId="0" borderId="13" xfId="0" applyFont="1" applyBorder="1" applyAlignment="1">
      <alignment horizontal="center"/>
    </xf>
    <xf numFmtId="184" fontId="80" fillId="0" borderId="15" xfId="0" applyNumberFormat="1" applyFont="1" applyFill="1" applyBorder="1" applyAlignment="1">
      <alignment horizontal="center"/>
    </xf>
    <xf numFmtId="1" fontId="75" fillId="0" borderId="0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84" fontId="75" fillId="0" borderId="0" xfId="0" applyNumberFormat="1" applyFont="1" applyFill="1" applyBorder="1" applyAlignment="1">
      <alignment horizontal="center" vertical="center" wrapText="1"/>
    </xf>
    <xf numFmtId="184" fontId="75" fillId="0" borderId="26" xfId="0" applyNumberFormat="1" applyFont="1" applyFill="1" applyBorder="1" applyAlignment="1">
      <alignment horizontal="center" vertical="center" wrapText="1"/>
    </xf>
    <xf numFmtId="184" fontId="78" fillId="0" borderId="12" xfId="0" applyNumberFormat="1" applyFont="1" applyFill="1" applyBorder="1" applyAlignment="1">
      <alignment horizontal="center" vertical="center" wrapText="1"/>
    </xf>
    <xf numFmtId="1" fontId="80" fillId="0" borderId="16" xfId="0" applyNumberFormat="1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 wrapText="1"/>
    </xf>
    <xf numFmtId="184" fontId="75" fillId="0" borderId="16" xfId="0" applyNumberFormat="1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center" wrapText="1"/>
    </xf>
    <xf numFmtId="184" fontId="80" fillId="0" borderId="11" xfId="0" applyNumberFormat="1" applyFont="1" applyFill="1" applyBorder="1" applyAlignment="1">
      <alignment horizontal="center"/>
    </xf>
    <xf numFmtId="184" fontId="75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84" fontId="80" fillId="0" borderId="16" xfId="0" applyNumberFormat="1" applyFont="1" applyFill="1" applyBorder="1" applyAlignment="1">
      <alignment horizontal="center"/>
    </xf>
    <xf numFmtId="184" fontId="75" fillId="0" borderId="12" xfId="0" applyNumberFormat="1" applyFont="1" applyFill="1" applyBorder="1" applyAlignment="1">
      <alignment horizontal="center" vertical="center" wrapText="1"/>
    </xf>
    <xf numFmtId="184" fontId="80" fillId="0" borderId="16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7" fontId="9" fillId="32" borderId="13" xfId="0" applyNumberFormat="1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7" fontId="9" fillId="0" borderId="20" xfId="0" applyNumberFormat="1" applyFont="1" applyFill="1" applyBorder="1" applyAlignment="1">
      <alignment horizontal="center" vertical="center" wrapText="1"/>
    </xf>
    <xf numFmtId="184" fontId="9" fillId="0" borderId="21" xfId="0" applyNumberFormat="1" applyFont="1" applyFill="1" applyBorder="1" applyAlignment="1">
      <alignment horizontal="center"/>
    </xf>
    <xf numFmtId="184" fontId="9" fillId="0" borderId="12" xfId="0" applyNumberFormat="1" applyFont="1" applyFill="1" applyBorder="1" applyAlignment="1">
      <alignment horizontal="center" vertical="center" wrapText="1"/>
    </xf>
    <xf numFmtId="184" fontId="2" fillId="0" borderId="13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0" fontId="80" fillId="0" borderId="13" xfId="57" applyFont="1" applyFill="1" applyBorder="1" applyAlignment="1">
      <alignment horizontal="center" vertical="center"/>
      <protection/>
    </xf>
    <xf numFmtId="0" fontId="75" fillId="0" borderId="13" xfId="57" applyFont="1" applyFill="1" applyBorder="1" applyAlignment="1">
      <alignment horizontal="center" vertical="center"/>
      <protection/>
    </xf>
    <xf numFmtId="0" fontId="0" fillId="11" borderId="0" xfId="0" applyFont="1" applyFill="1" applyAlignment="1">
      <alignment/>
    </xf>
    <xf numFmtId="184" fontId="0" fillId="11" borderId="0" xfId="0" applyNumberFormat="1" applyFill="1" applyAlignment="1">
      <alignment/>
    </xf>
    <xf numFmtId="184" fontId="13" fillId="0" borderId="0" xfId="0" applyNumberFormat="1" applyFont="1" applyFill="1" applyAlignment="1">
      <alignment vertical="top" wrapText="1"/>
    </xf>
    <xf numFmtId="0" fontId="75" fillId="0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75" fillId="0" borderId="2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32" borderId="13" xfId="0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left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184" fontId="80" fillId="0" borderId="15" xfId="0" applyNumberFormat="1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left" vertical="top" wrapText="1"/>
    </xf>
    <xf numFmtId="0" fontId="76" fillId="0" borderId="16" xfId="0" applyFont="1" applyFill="1" applyBorder="1" applyAlignment="1">
      <alignment horizontal="left" vertical="top" wrapText="1"/>
    </xf>
    <xf numFmtId="0" fontId="80" fillId="0" borderId="13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13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/>
      <protection/>
    </xf>
    <xf numFmtId="0" fontId="9" fillId="33" borderId="13" xfId="58" applyFont="1" applyFill="1" applyBorder="1" applyAlignment="1">
      <alignment horizontal="center" vertical="center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80" fillId="0" borderId="13" xfId="0" applyFont="1" applyBorder="1" applyAlignment="1">
      <alignment horizontal="center" vertical="top" wrapText="1"/>
    </xf>
    <xf numFmtId="184" fontId="80" fillId="0" borderId="13" xfId="0" applyNumberFormat="1" applyFont="1" applyFill="1" applyBorder="1" applyAlignment="1">
      <alignment horizontal="center" vertical="top" wrapText="1"/>
    </xf>
    <xf numFmtId="184" fontId="77" fillId="0" borderId="13" xfId="0" applyNumberFormat="1" applyFont="1" applyBorder="1" applyAlignment="1">
      <alignment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184" fontId="87" fillId="0" borderId="15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top" wrapText="1"/>
    </xf>
    <xf numFmtId="0" fontId="75" fillId="0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184" fontId="9" fillId="0" borderId="20" xfId="0" applyNumberFormat="1" applyFont="1" applyFill="1" applyBorder="1" applyAlignment="1">
      <alignment horizontal="center" vertical="center" wrapText="1"/>
    </xf>
    <xf numFmtId="184" fontId="9" fillId="0" borderId="20" xfId="0" applyNumberFormat="1" applyFont="1" applyFill="1" applyBorder="1" applyAlignment="1">
      <alignment horizontal="center" vertical="top" wrapText="1"/>
    </xf>
    <xf numFmtId="0" fontId="9" fillId="32" borderId="13" xfId="58" applyFont="1" applyFill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9" fillId="32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184" fontId="9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/>
    </xf>
    <xf numFmtId="0" fontId="80" fillId="0" borderId="20" xfId="0" applyFont="1" applyFill="1" applyBorder="1" applyAlignment="1">
      <alignment horizontal="center" vertical="center"/>
    </xf>
    <xf numFmtId="0" fontId="80" fillId="33" borderId="13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/>
    </xf>
    <xf numFmtId="0" fontId="77" fillId="0" borderId="14" xfId="0" applyFont="1" applyBorder="1" applyAlignment="1">
      <alignment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2" borderId="17" xfId="57" applyFont="1" applyFill="1" applyBorder="1" applyAlignment="1">
      <alignment horizontal="center" vertical="center"/>
      <protection/>
    </xf>
    <xf numFmtId="0" fontId="9" fillId="0" borderId="17" xfId="57" applyFont="1" applyFill="1" applyBorder="1" applyAlignment="1">
      <alignment horizontal="center" vertical="center"/>
      <protection/>
    </xf>
    <xf numFmtId="2" fontId="80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80" fillId="0" borderId="16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top" wrapText="1"/>
    </xf>
    <xf numFmtId="0" fontId="75" fillId="0" borderId="13" xfId="0" applyFont="1" applyFill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75" fillId="0" borderId="27" xfId="0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5" fillId="0" borderId="28" xfId="0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left" vertical="center" wrapText="1"/>
    </xf>
    <xf numFmtId="0" fontId="76" fillId="0" borderId="16" xfId="0" applyFont="1" applyFill="1" applyBorder="1" applyAlignment="1">
      <alignment horizontal="left" vertical="center" wrapText="1"/>
    </xf>
    <xf numFmtId="0" fontId="76" fillId="0" borderId="14" xfId="0" applyFont="1" applyFill="1" applyBorder="1" applyAlignment="1">
      <alignment horizontal="left" vertical="center" wrapText="1"/>
    </xf>
    <xf numFmtId="184" fontId="9" fillId="0" borderId="16" xfId="0" applyNumberFormat="1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left" vertical="top" wrapText="1"/>
    </xf>
    <xf numFmtId="0" fontId="76" fillId="0" borderId="16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184" fontId="9" fillId="0" borderId="13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84" fontId="9" fillId="0" borderId="15" xfId="0" applyNumberFormat="1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justify" vertical="top" wrapText="1"/>
    </xf>
    <xf numFmtId="0" fontId="76" fillId="0" borderId="16" xfId="0" applyFont="1" applyFill="1" applyBorder="1" applyAlignment="1">
      <alignment horizontal="justify" vertical="top" wrapText="1"/>
    </xf>
    <xf numFmtId="0" fontId="74" fillId="0" borderId="15" xfId="0" applyFont="1" applyFill="1" applyBorder="1" applyAlignment="1">
      <alignment horizontal="left" wrapText="1"/>
    </xf>
    <xf numFmtId="0" fontId="74" fillId="0" borderId="16" xfId="0" applyFont="1" applyFill="1" applyBorder="1" applyAlignment="1">
      <alignment horizontal="left" wrapText="1"/>
    </xf>
    <xf numFmtId="0" fontId="76" fillId="0" borderId="15" xfId="0" applyFont="1" applyFill="1" applyBorder="1" applyAlignment="1">
      <alignment horizontal="left" vertical="center"/>
    </xf>
    <xf numFmtId="0" fontId="76" fillId="0" borderId="16" xfId="0" applyFont="1" applyFill="1" applyBorder="1" applyAlignment="1">
      <alignment horizontal="left" vertical="center"/>
    </xf>
    <xf numFmtId="0" fontId="74" fillId="0" borderId="15" xfId="0" applyFont="1" applyFill="1" applyBorder="1" applyAlignment="1">
      <alignment vertical="center" wrapText="1"/>
    </xf>
    <xf numFmtId="0" fontId="74" fillId="0" borderId="16" xfId="0" applyFont="1" applyFill="1" applyBorder="1" applyAlignment="1">
      <alignment vertical="center" wrapText="1"/>
    </xf>
    <xf numFmtId="0" fontId="75" fillId="0" borderId="28" xfId="0" applyFont="1" applyFill="1" applyBorder="1" applyAlignment="1">
      <alignment horizontal="center" vertical="top" wrapText="1"/>
    </xf>
    <xf numFmtId="0" fontId="75" fillId="0" borderId="29" xfId="0" applyFont="1" applyFill="1" applyBorder="1" applyAlignment="1">
      <alignment horizontal="center" vertical="top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74" fillId="0" borderId="30" xfId="0" applyFont="1" applyFill="1" applyBorder="1" applyAlignment="1">
      <alignment horizontal="center" vertical="top" wrapText="1"/>
    </xf>
    <xf numFmtId="0" fontId="74" fillId="0" borderId="31" xfId="0" applyFont="1" applyFill="1" applyBorder="1" applyAlignment="1">
      <alignment horizontal="center" vertical="top" wrapText="1"/>
    </xf>
    <xf numFmtId="0" fontId="74" fillId="0" borderId="15" xfId="0" applyFont="1" applyFill="1" applyBorder="1" applyAlignment="1">
      <alignment horizontal="left" vertical="top" wrapText="1"/>
    </xf>
    <xf numFmtId="0" fontId="74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74" fillId="0" borderId="16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75" fillId="0" borderId="32" xfId="0" applyFont="1" applyFill="1" applyBorder="1" applyAlignment="1">
      <alignment horizontal="center" vertical="top" wrapText="1"/>
    </xf>
    <xf numFmtId="0" fontId="75" fillId="0" borderId="33" xfId="0" applyFont="1" applyFill="1" applyBorder="1" applyAlignment="1">
      <alignment horizontal="center" vertical="top" wrapText="1"/>
    </xf>
    <xf numFmtId="0" fontId="74" fillId="0" borderId="17" xfId="0" applyFont="1" applyFill="1" applyBorder="1" applyAlignment="1">
      <alignment horizontal="left" vertical="top" wrapText="1"/>
    </xf>
    <xf numFmtId="0" fontId="74" fillId="0" borderId="18" xfId="0" applyFont="1" applyFill="1" applyBorder="1" applyAlignment="1">
      <alignment horizontal="left" vertical="top" wrapText="1"/>
    </xf>
    <xf numFmtId="0" fontId="85" fillId="0" borderId="12" xfId="0" applyFont="1" applyFill="1" applyBorder="1" applyAlignment="1">
      <alignment horizontal="center" vertical="top" wrapText="1"/>
    </xf>
    <xf numFmtId="0" fontId="85" fillId="0" borderId="19" xfId="0" applyFont="1" applyFill="1" applyBorder="1" applyAlignment="1">
      <alignment horizontal="center" vertical="top" wrapText="1"/>
    </xf>
    <xf numFmtId="0" fontId="74" fillId="0" borderId="12" xfId="0" applyFont="1" applyFill="1" applyBorder="1" applyAlignment="1">
      <alignment horizontal="center" vertical="top" wrapText="1"/>
    </xf>
    <xf numFmtId="0" fontId="76" fillId="0" borderId="13" xfId="0" applyFont="1" applyFill="1" applyBorder="1" applyAlignment="1">
      <alignment horizontal="justify" vertical="top" wrapText="1"/>
    </xf>
    <xf numFmtId="0" fontId="76" fillId="0" borderId="21" xfId="0" applyFont="1" applyFill="1" applyBorder="1" applyAlignment="1">
      <alignment horizontal="justify" vertical="top" wrapText="1"/>
    </xf>
    <xf numFmtId="0" fontId="74" fillId="0" borderId="15" xfId="0" applyFont="1" applyFill="1" applyBorder="1" applyAlignment="1">
      <alignment horizontal="left" vertical="center" wrapText="1"/>
    </xf>
    <xf numFmtId="0" fontId="7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57"/>
  <sheetViews>
    <sheetView tabSelected="1" view="pageBreakPreview" zoomScaleNormal="70" zoomScaleSheetLayoutView="100" zoomScalePageLayoutView="70" workbookViewId="0" topLeftCell="A1040">
      <selection activeCell="A1053" sqref="A1053:E1053"/>
    </sheetView>
  </sheetViews>
  <sheetFormatPr defaultColWidth="9.140625" defaultRowHeight="12.75"/>
  <cols>
    <col min="1" max="1" width="16.140625" style="5" customWidth="1"/>
    <col min="2" max="2" width="15.421875" style="2" customWidth="1"/>
    <col min="3" max="3" width="25.8515625" style="3" customWidth="1"/>
    <col min="4" max="4" width="70.421875" style="3" customWidth="1"/>
    <col min="5" max="5" width="31.421875" style="2" customWidth="1"/>
    <col min="6" max="6" width="10.00390625" style="1" hidden="1" customWidth="1"/>
    <col min="7" max="7" width="59.57421875" style="1" hidden="1" customWidth="1"/>
    <col min="8" max="8" width="159.57421875" style="98" customWidth="1"/>
    <col min="9" max="18" width="9.140625" style="1" hidden="1" customWidth="1"/>
    <col min="19" max="20" width="9.140625" style="1" customWidth="1"/>
    <col min="21" max="16384" width="9.140625" style="1" customWidth="1"/>
  </cols>
  <sheetData>
    <row r="1" spans="1:5" ht="27" customHeight="1">
      <c r="A1" s="355" t="s">
        <v>72</v>
      </c>
      <c r="B1" s="356"/>
      <c r="C1" s="356"/>
      <c r="D1" s="356"/>
      <c r="E1" s="356"/>
    </row>
    <row r="2" spans="1:4" ht="19.5" customHeight="1">
      <c r="A2" s="357" t="s">
        <v>9</v>
      </c>
      <c r="B2" s="358"/>
      <c r="C2" s="358"/>
      <c r="D2" s="4" t="s">
        <v>693</v>
      </c>
    </row>
    <row r="3" spans="1:4" ht="16.5" customHeight="1">
      <c r="A3" s="357" t="s">
        <v>10</v>
      </c>
      <c r="B3" s="358"/>
      <c r="C3" s="358"/>
      <c r="D3" s="4" t="s">
        <v>694</v>
      </c>
    </row>
    <row r="4" spans="1:5" ht="31.5" customHeight="1">
      <c r="A4" s="359" t="s">
        <v>232</v>
      </c>
      <c r="B4" s="360"/>
      <c r="C4" s="360"/>
      <c r="D4" s="360"/>
      <c r="E4" s="360"/>
    </row>
    <row r="5" spans="1:6" ht="19.5" customHeight="1">
      <c r="A5" s="353" t="s">
        <v>0</v>
      </c>
      <c r="B5" s="354"/>
      <c r="C5" s="354"/>
      <c r="D5" s="354"/>
      <c r="E5" s="293" t="s">
        <v>7</v>
      </c>
      <c r="F5" s="119"/>
    </row>
    <row r="6" spans="1:8" ht="17.25" customHeight="1">
      <c r="A6" s="301" t="s">
        <v>74</v>
      </c>
      <c r="B6" s="306"/>
      <c r="C6" s="299" t="s">
        <v>145</v>
      </c>
      <c r="D6" s="299"/>
      <c r="E6" s="45">
        <v>4.562</v>
      </c>
      <c r="H6" s="92" t="str">
        <f>CONCATENATE("Aluminium Conductor Steel Reinforced scrap, Lying at ",C6,". Quantity in MT - ",E6,)</f>
        <v>Aluminium Conductor Steel Reinforced scrap, Lying at Outlet store Shri Muktsar sahib. Quantity in MT - 4.562</v>
      </c>
    </row>
    <row r="7" spans="1:8" ht="17.25" customHeight="1">
      <c r="A7" s="301" t="s">
        <v>114</v>
      </c>
      <c r="B7" s="306"/>
      <c r="C7" s="299" t="s">
        <v>200</v>
      </c>
      <c r="D7" s="299"/>
      <c r="E7" s="45">
        <v>7.579</v>
      </c>
      <c r="H7" s="92" t="str">
        <f aca="true" t="shared" si="0" ref="H7:H24">CONCATENATE("Aluminium Conductor Steel Reinforced scrap, Lying at ",C7,". Quantity in MT - ",E7,)</f>
        <v>Aluminium Conductor Steel Reinforced scrap, Lying at CS Kotkapura  (.237 MT Intermingle). Quantity in MT - 7.579</v>
      </c>
    </row>
    <row r="8" spans="1:8" ht="17.25" customHeight="1">
      <c r="A8" s="301" t="s">
        <v>161</v>
      </c>
      <c r="B8" s="306"/>
      <c r="C8" s="299" t="s">
        <v>513</v>
      </c>
      <c r="D8" s="299"/>
      <c r="E8" s="45">
        <v>8</v>
      </c>
      <c r="H8" s="92" t="str">
        <f t="shared" si="0"/>
        <v>Aluminium Conductor Steel Reinforced scrap, Lying at CS Kotkapura . Quantity in MT - 8</v>
      </c>
    </row>
    <row r="9" spans="1:8" ht="17.25" customHeight="1">
      <c r="A9" s="301" t="s">
        <v>178</v>
      </c>
      <c r="B9" s="306"/>
      <c r="C9" s="299" t="s">
        <v>260</v>
      </c>
      <c r="D9" s="299"/>
      <c r="E9" s="45">
        <v>2.834</v>
      </c>
      <c r="H9" s="92" t="str">
        <f t="shared" si="0"/>
        <v>Aluminium Conductor Steel Reinforced scrap, Lying at Outlet store Fazilka. Quantity in MT - 2.834</v>
      </c>
    </row>
    <row r="10" spans="1:8" ht="17.25" customHeight="1">
      <c r="A10" s="301" t="s">
        <v>162</v>
      </c>
      <c r="B10" s="306"/>
      <c r="C10" s="299" t="s">
        <v>578</v>
      </c>
      <c r="D10" s="299"/>
      <c r="E10" s="45">
        <v>7.356</v>
      </c>
      <c r="G10" s="119"/>
      <c r="H10" s="92" t="str">
        <f t="shared" si="0"/>
        <v>Aluminium Conductor Steel Reinforced scrap, Lying at CS Bathinda (.135 MT intermingle). Quantity in MT - 7.356</v>
      </c>
    </row>
    <row r="11" spans="1:8" ht="17.25" customHeight="1">
      <c r="A11" s="301" t="s">
        <v>179</v>
      </c>
      <c r="B11" s="306"/>
      <c r="C11" s="298" t="s">
        <v>579</v>
      </c>
      <c r="D11" s="298"/>
      <c r="E11" s="258">
        <v>5.79</v>
      </c>
      <c r="H11" s="92" t="str">
        <f t="shared" si="0"/>
        <v>Aluminium Conductor Steel Reinforced scrap, Lying at Outlet store Bhagta Bhai Ka (.18 MT Intermingle). Quantity in MT - 5.79</v>
      </c>
    </row>
    <row r="12" spans="1:8" ht="17.25" customHeight="1">
      <c r="A12" s="301" t="s">
        <v>163</v>
      </c>
      <c r="B12" s="306"/>
      <c r="C12" s="299" t="s">
        <v>180</v>
      </c>
      <c r="D12" s="299"/>
      <c r="E12" s="45">
        <v>5.096</v>
      </c>
      <c r="H12" s="92" t="str">
        <f t="shared" si="0"/>
        <v>Aluminium Conductor Steel Reinforced scrap, Lying at Outlet store Patran. Quantity in MT - 5.096</v>
      </c>
    </row>
    <row r="13" spans="1:8" ht="17.25" customHeight="1">
      <c r="A13" s="301" t="s">
        <v>201</v>
      </c>
      <c r="B13" s="306"/>
      <c r="C13" s="299" t="s">
        <v>181</v>
      </c>
      <c r="D13" s="299"/>
      <c r="E13" s="45">
        <v>5.384</v>
      </c>
      <c r="H13" s="92" t="str">
        <f t="shared" si="0"/>
        <v>Aluminium Conductor Steel Reinforced scrap, Lying at Outlet store Barnala. Quantity in MT - 5.384</v>
      </c>
    </row>
    <row r="14" spans="1:8" ht="17.25" customHeight="1">
      <c r="A14" s="301" t="s">
        <v>182</v>
      </c>
      <c r="B14" s="306"/>
      <c r="C14" s="301" t="s">
        <v>548</v>
      </c>
      <c r="D14" s="302"/>
      <c r="E14" s="45">
        <v>11.367</v>
      </c>
      <c r="H14" s="92" t="str">
        <f t="shared" si="0"/>
        <v>Aluminium Conductor Steel Reinforced scrap, Lying at S &amp; T Store Bathinda (1.367 MT Intermingle). Quantity in MT - 11.367</v>
      </c>
    </row>
    <row r="15" spans="1:8" ht="17.25" customHeight="1">
      <c r="A15" s="301" t="s">
        <v>183</v>
      </c>
      <c r="B15" s="306"/>
      <c r="C15" s="301" t="s">
        <v>57</v>
      </c>
      <c r="D15" s="302"/>
      <c r="E15" s="45">
        <v>10</v>
      </c>
      <c r="H15" s="92" t="str">
        <f t="shared" si="0"/>
        <v>Aluminium Conductor Steel Reinforced scrap, Lying at S &amp; T Store Bathinda. Quantity in MT - 10</v>
      </c>
    </row>
    <row r="16" spans="1:8" ht="17.25" customHeight="1">
      <c r="A16" s="301" t="s">
        <v>203</v>
      </c>
      <c r="B16" s="306"/>
      <c r="C16" s="299" t="s">
        <v>574</v>
      </c>
      <c r="D16" s="301"/>
      <c r="E16" s="45">
        <v>9.364</v>
      </c>
      <c r="H16" s="92" t="str">
        <f t="shared" si="0"/>
        <v>Aluminium Conductor Steel Reinforced scrap, Lying at CS Malout (.133 MT Intermingle). Quantity in MT - 9.364</v>
      </c>
    </row>
    <row r="17" spans="1:8" ht="17.25" customHeight="1">
      <c r="A17" s="301" t="s">
        <v>265</v>
      </c>
      <c r="B17" s="306"/>
      <c r="C17" s="298" t="s">
        <v>264</v>
      </c>
      <c r="D17" s="298"/>
      <c r="E17" s="258">
        <v>7.779</v>
      </c>
      <c r="F17" s="119"/>
      <c r="H17" s="92" t="str">
        <f t="shared" si="0"/>
        <v>Aluminium Conductor Steel Reinforced scrap, Lying at Outlet store Moga. Quantity in MT - 7.779</v>
      </c>
    </row>
    <row r="18" spans="1:8" ht="17.25" customHeight="1">
      <c r="A18" s="301" t="s">
        <v>305</v>
      </c>
      <c r="B18" s="306"/>
      <c r="C18" s="299" t="s">
        <v>368</v>
      </c>
      <c r="D18" s="299"/>
      <c r="E18" s="45">
        <v>3.628</v>
      </c>
      <c r="F18" s="119"/>
      <c r="H18" s="92" t="str">
        <f t="shared" si="0"/>
        <v>Aluminium Conductor Steel Reinforced scrap, Lying at CS Ferozepur (.015 MT Intermingle). Quantity in MT - 3.628</v>
      </c>
    </row>
    <row r="19" spans="1:8" ht="17.25" customHeight="1">
      <c r="A19" s="301" t="s">
        <v>306</v>
      </c>
      <c r="B19" s="306"/>
      <c r="C19" s="299" t="s">
        <v>230</v>
      </c>
      <c r="D19" s="301"/>
      <c r="E19" s="45">
        <v>1.704</v>
      </c>
      <c r="F19" s="119"/>
      <c r="H19" s="92" t="str">
        <f t="shared" si="0"/>
        <v>Aluminium Conductor Steel Reinforced scrap, Lying at Outlet store Rajpura. Quantity in MT - 1.704</v>
      </c>
    </row>
    <row r="20" spans="1:8" ht="17.25" customHeight="1">
      <c r="A20" s="301" t="s">
        <v>308</v>
      </c>
      <c r="B20" s="306"/>
      <c r="C20" s="299" t="s">
        <v>79</v>
      </c>
      <c r="D20" s="301"/>
      <c r="E20" s="45">
        <v>3.595</v>
      </c>
      <c r="F20" s="119"/>
      <c r="H20" s="92" t="str">
        <f t="shared" si="0"/>
        <v>Aluminium Conductor Steel Reinforced scrap, Lying at CS Sangrur. Quantity in MT - 3.595</v>
      </c>
    </row>
    <row r="21" spans="1:8" ht="17.25" customHeight="1">
      <c r="A21" s="301" t="s">
        <v>309</v>
      </c>
      <c r="B21" s="306"/>
      <c r="C21" s="299" t="s">
        <v>575</v>
      </c>
      <c r="D21" s="301"/>
      <c r="E21" s="45">
        <v>3.417</v>
      </c>
      <c r="F21" s="119"/>
      <c r="H21" s="92" t="str">
        <f t="shared" si="0"/>
        <v>Aluminium Conductor Steel Reinforced scrap, Lying at CS Patiala (.01 MT Intermingle). Quantity in MT - 3.417</v>
      </c>
    </row>
    <row r="22" spans="1:8" ht="17.25" customHeight="1">
      <c r="A22" s="301" t="s">
        <v>560</v>
      </c>
      <c r="B22" s="306"/>
      <c r="C22" s="299" t="s">
        <v>576</v>
      </c>
      <c r="D22" s="301"/>
      <c r="E22" s="45">
        <v>0.43</v>
      </c>
      <c r="F22" s="119"/>
      <c r="H22" s="92" t="str">
        <f t="shared" si="0"/>
        <v>Aluminium Conductor Steel Reinforced scrap, Lying at Outlet store Nabha. Quantity in MT - 0.43</v>
      </c>
    </row>
    <row r="23" spans="1:8" ht="17.25" customHeight="1">
      <c r="A23" s="301" t="s">
        <v>369</v>
      </c>
      <c r="B23" s="306"/>
      <c r="C23" s="299" t="s">
        <v>185</v>
      </c>
      <c r="D23" s="301"/>
      <c r="E23" s="45">
        <v>5.128</v>
      </c>
      <c r="F23" s="119"/>
      <c r="H23" s="92" t="str">
        <f t="shared" si="0"/>
        <v>Aluminium Conductor Steel Reinforced scrap, Lying at Outlet store Mansa. Quantity in MT - 5.128</v>
      </c>
    </row>
    <row r="24" spans="1:8" ht="17.25" customHeight="1" thickBot="1">
      <c r="A24" s="301" t="s">
        <v>439</v>
      </c>
      <c r="B24" s="306"/>
      <c r="C24" s="299" t="s">
        <v>583</v>
      </c>
      <c r="D24" s="301"/>
      <c r="E24" s="45">
        <v>1.891</v>
      </c>
      <c r="F24" s="119"/>
      <c r="H24" s="92" t="str">
        <f t="shared" si="0"/>
        <v>Aluminium Conductor Steel Reinforced scrap, Lying at CS Mohali (.134 MT intermingle). Quantity in MT - 1.891</v>
      </c>
    </row>
    <row r="25" spans="1:5" ht="17.25" customHeight="1" thickBot="1">
      <c r="A25" s="364" t="s">
        <v>113</v>
      </c>
      <c r="B25" s="365"/>
      <c r="C25" s="370"/>
      <c r="D25" s="370"/>
      <c r="E25" s="122">
        <f>SUM(E6:E24)</f>
        <v>104.90400000000001</v>
      </c>
    </row>
    <row r="26" spans="1:5" ht="17.25" customHeight="1">
      <c r="A26" s="139"/>
      <c r="B26" s="139"/>
      <c r="C26" s="138"/>
      <c r="D26" s="138"/>
      <c r="E26" s="140"/>
    </row>
    <row r="27" spans="1:5" ht="17.25" customHeight="1">
      <c r="A27" s="366" t="s">
        <v>334</v>
      </c>
      <c r="B27" s="367"/>
      <c r="C27" s="367"/>
      <c r="D27" s="367"/>
      <c r="E27" s="293" t="s">
        <v>7</v>
      </c>
    </row>
    <row r="28" spans="1:8" ht="17.25" customHeight="1">
      <c r="A28" s="299" t="s">
        <v>335</v>
      </c>
      <c r="B28" s="299"/>
      <c r="C28" s="299" t="s">
        <v>264</v>
      </c>
      <c r="D28" s="299"/>
      <c r="E28" s="72">
        <v>0.431</v>
      </c>
      <c r="H28" s="92" t="str">
        <f>CONCATENATE("LT ABC Cable scrap without insulation, Lying at ",C28,". Quantity in MT - ",E28,)</f>
        <v>LT ABC Cable scrap without insulation, Lying at Outlet store Moga. Quantity in MT - 0.431</v>
      </c>
    </row>
    <row r="29" spans="1:8" ht="17.25" customHeight="1" thickBot="1">
      <c r="A29" s="326" t="s">
        <v>351</v>
      </c>
      <c r="B29" s="327"/>
      <c r="C29" s="301" t="s">
        <v>230</v>
      </c>
      <c r="D29" s="306"/>
      <c r="E29" s="259">
        <v>1.128</v>
      </c>
      <c r="H29" s="92" t="str">
        <f>CONCATENATE("LT ABC Cable scrap without insulation, Lying at ",C29,". Quantity in MT - ",E29,)</f>
        <v>LT ABC Cable scrap without insulation, Lying at Outlet store Rajpura. Quantity in MT - 1.128</v>
      </c>
    </row>
    <row r="30" spans="1:5" ht="17.25" customHeight="1" thickBot="1">
      <c r="A30" s="346" t="s">
        <v>113</v>
      </c>
      <c r="B30" s="347"/>
      <c r="C30" s="361"/>
      <c r="D30" s="361"/>
      <c r="E30" s="149">
        <f>E28+E29</f>
        <v>1.559</v>
      </c>
    </row>
    <row r="31" spans="1:5" ht="17.25" customHeight="1">
      <c r="A31" s="120"/>
      <c r="B31" s="120"/>
      <c r="C31" s="121"/>
      <c r="D31" s="368"/>
      <c r="E31" s="369"/>
    </row>
    <row r="32" spans="1:5" ht="17.25" customHeight="1">
      <c r="A32" s="353" t="s">
        <v>12</v>
      </c>
      <c r="B32" s="354"/>
      <c r="C32" s="354"/>
      <c r="D32" s="354"/>
      <c r="E32" s="293" t="s">
        <v>7</v>
      </c>
    </row>
    <row r="33" spans="1:8" ht="17.25" customHeight="1">
      <c r="A33" s="301" t="s">
        <v>73</v>
      </c>
      <c r="B33" s="306"/>
      <c r="C33" s="299" t="s">
        <v>28</v>
      </c>
      <c r="D33" s="299"/>
      <c r="E33" s="72">
        <v>15.303</v>
      </c>
      <c r="H33" s="92" t="str">
        <f aca="true" t="shared" si="1" ref="H33:H53">CONCATENATE("Damaged Distribution Transformer's HT/LT Aluminium coils scrap with insulation, Lying at ",C33,". Quantity in MT - ",E33,)</f>
        <v>Damaged Distribution Transformer's HT/LT Aluminium coils scrap with insulation, Lying at TRY Malerkotla. Quantity in MT - 15.303</v>
      </c>
    </row>
    <row r="34" spans="1:8" ht="17.25" customHeight="1">
      <c r="A34" s="301" t="s">
        <v>122</v>
      </c>
      <c r="B34" s="306"/>
      <c r="C34" s="299" t="s">
        <v>136</v>
      </c>
      <c r="D34" s="299"/>
      <c r="E34" s="72">
        <v>14.24</v>
      </c>
      <c r="H34" s="92" t="str">
        <f t="shared" si="1"/>
        <v>Damaged Distribution Transformer's HT/LT Aluminium coils scrap with insulation, Lying at TRY Patran. Quantity in MT - 14.24</v>
      </c>
    </row>
    <row r="35" spans="1:8" ht="17.25" customHeight="1">
      <c r="A35" s="301" t="s">
        <v>123</v>
      </c>
      <c r="B35" s="306"/>
      <c r="C35" s="299" t="s">
        <v>136</v>
      </c>
      <c r="D35" s="299"/>
      <c r="E35" s="72">
        <v>10</v>
      </c>
      <c r="H35" s="92" t="str">
        <f t="shared" si="1"/>
        <v>Damaged Distribution Transformer's HT/LT Aluminium coils scrap with insulation, Lying at TRY Patran. Quantity in MT - 10</v>
      </c>
    </row>
    <row r="36" spans="1:8" ht="17.25" customHeight="1">
      <c r="A36" s="301" t="s">
        <v>204</v>
      </c>
      <c r="B36" s="306"/>
      <c r="C36" s="299" t="s">
        <v>245</v>
      </c>
      <c r="D36" s="299"/>
      <c r="E36" s="72">
        <v>16.84</v>
      </c>
      <c r="H36" s="92" t="str">
        <f t="shared" si="1"/>
        <v>Damaged Distribution Transformer's HT/LT Aluminium coils scrap with insulation, Lying at TRY Kotkapura. Quantity in MT - 16.84</v>
      </c>
    </row>
    <row r="37" spans="1:8" ht="17.25" customHeight="1">
      <c r="A37" s="301" t="s">
        <v>158</v>
      </c>
      <c r="B37" s="306"/>
      <c r="C37" s="299" t="s">
        <v>245</v>
      </c>
      <c r="D37" s="299"/>
      <c r="E37" s="72">
        <v>10</v>
      </c>
      <c r="H37" s="92" t="str">
        <f t="shared" si="1"/>
        <v>Damaged Distribution Transformer's HT/LT Aluminium coils scrap with insulation, Lying at TRY Kotkapura. Quantity in MT - 10</v>
      </c>
    </row>
    <row r="38" spans="1:8" ht="17.25" customHeight="1">
      <c r="A38" s="301" t="s">
        <v>186</v>
      </c>
      <c r="B38" s="306"/>
      <c r="C38" s="299" t="s">
        <v>245</v>
      </c>
      <c r="D38" s="299"/>
      <c r="E38" s="72">
        <v>10</v>
      </c>
      <c r="H38" s="92" t="str">
        <f t="shared" si="1"/>
        <v>Damaged Distribution Transformer's HT/LT Aluminium coils scrap with insulation, Lying at TRY Kotkapura. Quantity in MT - 10</v>
      </c>
    </row>
    <row r="39" spans="1:8" ht="17.25" customHeight="1">
      <c r="A39" s="301" t="s">
        <v>246</v>
      </c>
      <c r="B39" s="306"/>
      <c r="C39" s="299" t="s">
        <v>245</v>
      </c>
      <c r="D39" s="299"/>
      <c r="E39" s="72">
        <v>10</v>
      </c>
      <c r="H39" s="92" t="str">
        <f t="shared" si="1"/>
        <v>Damaged Distribution Transformer's HT/LT Aluminium coils scrap with insulation, Lying at TRY Kotkapura. Quantity in MT - 10</v>
      </c>
    </row>
    <row r="40" spans="1:8" ht="17.25" customHeight="1">
      <c r="A40" s="301" t="s">
        <v>165</v>
      </c>
      <c r="B40" s="306"/>
      <c r="C40" s="299" t="s">
        <v>164</v>
      </c>
      <c r="D40" s="299"/>
      <c r="E40" s="72">
        <v>15</v>
      </c>
      <c r="F40" s="119"/>
      <c r="H40" s="92" t="str">
        <f t="shared" si="1"/>
        <v>Damaged Distribution Transformer's HT/LT Aluminium coils scrap with insulation, Lying at TRY Malout. Quantity in MT - 15</v>
      </c>
    </row>
    <row r="41" spans="1:8" ht="17.25" customHeight="1">
      <c r="A41" s="301" t="s">
        <v>248</v>
      </c>
      <c r="B41" s="306"/>
      <c r="C41" s="299" t="s">
        <v>164</v>
      </c>
      <c r="D41" s="299"/>
      <c r="E41" s="72">
        <v>14.154</v>
      </c>
      <c r="F41" s="119"/>
      <c r="G41" s="119"/>
      <c r="H41" s="92" t="str">
        <f t="shared" si="1"/>
        <v>Damaged Distribution Transformer's HT/LT Aluminium coils scrap with insulation, Lying at TRY Malout. Quantity in MT - 14.154</v>
      </c>
    </row>
    <row r="42" spans="1:8" ht="17.25" customHeight="1">
      <c r="A42" s="301" t="s">
        <v>261</v>
      </c>
      <c r="B42" s="306"/>
      <c r="C42" s="299" t="s">
        <v>166</v>
      </c>
      <c r="D42" s="299"/>
      <c r="E42" s="72">
        <v>16</v>
      </c>
      <c r="H42" s="92" t="str">
        <f t="shared" si="1"/>
        <v>Damaged Distribution Transformer's HT/LT Aluminium coils scrap with insulation, Lying at TRY Mansa. Quantity in MT - 16</v>
      </c>
    </row>
    <row r="43" spans="1:8" ht="17.25" customHeight="1">
      <c r="A43" s="301" t="s">
        <v>398</v>
      </c>
      <c r="B43" s="306"/>
      <c r="C43" s="299" t="s">
        <v>166</v>
      </c>
      <c r="D43" s="299"/>
      <c r="E43" s="72">
        <v>16.423</v>
      </c>
      <c r="F43" s="119"/>
      <c r="H43" s="92" t="str">
        <f t="shared" si="1"/>
        <v>Damaged Distribution Transformer's HT/LT Aluminium coils scrap with insulation, Lying at TRY Mansa. Quantity in MT - 16.423</v>
      </c>
    </row>
    <row r="44" spans="1:8" ht="17.25" customHeight="1">
      <c r="A44" s="301" t="s">
        <v>414</v>
      </c>
      <c r="B44" s="306"/>
      <c r="C44" s="299" t="s">
        <v>166</v>
      </c>
      <c r="D44" s="299"/>
      <c r="E44" s="72">
        <v>10</v>
      </c>
      <c r="H44" s="92" t="str">
        <f t="shared" si="1"/>
        <v>Damaged Distribution Transformer's HT/LT Aluminium coils scrap with insulation, Lying at TRY Mansa. Quantity in MT - 10</v>
      </c>
    </row>
    <row r="45" spans="1:8" ht="17.25" customHeight="1">
      <c r="A45" s="301" t="s">
        <v>415</v>
      </c>
      <c r="B45" s="306"/>
      <c r="C45" s="299" t="s">
        <v>166</v>
      </c>
      <c r="D45" s="299"/>
      <c r="E45" s="72">
        <v>10</v>
      </c>
      <c r="H45" s="92" t="str">
        <f t="shared" si="1"/>
        <v>Damaged Distribution Transformer's HT/LT Aluminium coils scrap with insulation, Lying at TRY Mansa. Quantity in MT - 10</v>
      </c>
    </row>
    <row r="46" spans="1:8" ht="17.25" customHeight="1">
      <c r="A46" s="301" t="s">
        <v>490</v>
      </c>
      <c r="B46" s="306"/>
      <c r="C46" s="299" t="s">
        <v>143</v>
      </c>
      <c r="D46" s="299"/>
      <c r="E46" s="72">
        <v>3.66</v>
      </c>
      <c r="H46" s="92" t="str">
        <f t="shared" si="1"/>
        <v>Damaged Distribution Transformer's HT/LT Aluminium coils scrap with insulation, Lying at TRY Ropar. Quantity in MT - 3.66</v>
      </c>
    </row>
    <row r="47" spans="1:8" ht="17.25" customHeight="1">
      <c r="A47" s="301" t="s">
        <v>498</v>
      </c>
      <c r="B47" s="306"/>
      <c r="C47" s="299" t="s">
        <v>36</v>
      </c>
      <c r="D47" s="299"/>
      <c r="E47" s="72">
        <v>17.38</v>
      </c>
      <c r="H47" s="92" t="str">
        <f t="shared" si="1"/>
        <v>Damaged Distribution Transformer's HT/LT Aluminium coils scrap with insulation, Lying at TRY Bathinda. Quantity in MT - 17.38</v>
      </c>
    </row>
    <row r="48" spans="1:8" ht="17.25" customHeight="1">
      <c r="A48" s="301" t="s">
        <v>499</v>
      </c>
      <c r="B48" s="306"/>
      <c r="C48" s="350" t="s">
        <v>135</v>
      </c>
      <c r="D48" s="350"/>
      <c r="E48" s="237">
        <v>20.611</v>
      </c>
      <c r="F48" s="119">
        <v>14.7</v>
      </c>
      <c r="G48" s="1">
        <v>5.911</v>
      </c>
      <c r="H48" s="92" t="str">
        <f t="shared" si="1"/>
        <v>Damaged Distribution Transformer's HT/LT Aluminium coils scrap with insulation, Lying at TRY Sangrur. Quantity in MT - 20.611</v>
      </c>
    </row>
    <row r="49" spans="1:8" ht="17.25" customHeight="1">
      <c r="A49" s="301" t="s">
        <v>500</v>
      </c>
      <c r="B49" s="306"/>
      <c r="C49" s="302" t="s">
        <v>135</v>
      </c>
      <c r="D49" s="302"/>
      <c r="E49" s="72">
        <v>10</v>
      </c>
      <c r="H49" s="92" t="str">
        <f t="shared" si="1"/>
        <v>Damaged Distribution Transformer's HT/LT Aluminium coils scrap with insulation, Lying at TRY Sangrur. Quantity in MT - 10</v>
      </c>
    </row>
    <row r="50" spans="1:8" ht="17.25" customHeight="1">
      <c r="A50" s="301" t="s">
        <v>502</v>
      </c>
      <c r="B50" s="306"/>
      <c r="C50" s="302" t="s">
        <v>132</v>
      </c>
      <c r="D50" s="302"/>
      <c r="E50" s="72">
        <v>7.16</v>
      </c>
      <c r="H50" s="92" t="str">
        <f t="shared" si="1"/>
        <v>Damaged Distribution Transformer's HT/LT Aluminium coils scrap with insulation, Lying at TRY Bhagta Bhai Ka. Quantity in MT - 7.16</v>
      </c>
    </row>
    <row r="51" spans="1:8" ht="17.25" customHeight="1">
      <c r="A51" s="301" t="s">
        <v>511</v>
      </c>
      <c r="B51" s="306"/>
      <c r="C51" s="302" t="s">
        <v>132</v>
      </c>
      <c r="D51" s="302"/>
      <c r="E51" s="72">
        <v>10</v>
      </c>
      <c r="H51" s="92" t="str">
        <f t="shared" si="1"/>
        <v>Damaged Distribution Transformer's HT/LT Aluminium coils scrap with insulation, Lying at TRY Bhagta Bhai Ka. Quantity in MT - 10</v>
      </c>
    </row>
    <row r="52" spans="1:8" ht="17.25" customHeight="1">
      <c r="A52" s="301" t="s">
        <v>512</v>
      </c>
      <c r="B52" s="306"/>
      <c r="C52" s="299" t="s">
        <v>42</v>
      </c>
      <c r="D52" s="299"/>
      <c r="E52" s="72">
        <v>4.435</v>
      </c>
      <c r="H52" s="92" t="str">
        <f t="shared" si="1"/>
        <v>Damaged Distribution Transformer's HT/LT Aluminium coils scrap with insulation, Lying at TRY Ferozepur. Quantity in MT - 4.435</v>
      </c>
    </row>
    <row r="53" spans="1:8" ht="17.25" customHeight="1" thickBot="1">
      <c r="A53" s="301" t="s">
        <v>573</v>
      </c>
      <c r="B53" s="306"/>
      <c r="C53" s="302" t="s">
        <v>314</v>
      </c>
      <c r="D53" s="302"/>
      <c r="E53" s="72">
        <v>7.746</v>
      </c>
      <c r="H53" s="92" t="str">
        <f t="shared" si="1"/>
        <v>Damaged Distribution Transformer's HT/LT Aluminium coils scrap with insulation, Lying at TRY Barnala. Quantity in MT - 7.746</v>
      </c>
    </row>
    <row r="54" spans="1:5" ht="17.25" customHeight="1" thickBot="1">
      <c r="A54" s="346" t="s">
        <v>113</v>
      </c>
      <c r="B54" s="347"/>
      <c r="C54" s="351"/>
      <c r="D54" s="352"/>
      <c r="E54" s="122">
        <f>SUM(E33:E53)</f>
        <v>248.95199999999997</v>
      </c>
    </row>
    <row r="55" spans="1:8" ht="17.25" customHeight="1">
      <c r="A55" s="348"/>
      <c r="B55" s="348"/>
      <c r="C55" s="348"/>
      <c r="D55" s="348"/>
      <c r="E55" s="349"/>
      <c r="H55" s="109"/>
    </row>
    <row r="56" spans="1:5" ht="17.25" customHeight="1">
      <c r="A56" s="371" t="s">
        <v>107</v>
      </c>
      <c r="B56" s="371"/>
      <c r="C56" s="371"/>
      <c r="D56" s="371"/>
      <c r="E56" s="372"/>
    </row>
    <row r="57" spans="1:5" ht="17.25" customHeight="1">
      <c r="A57" s="362" t="s">
        <v>711</v>
      </c>
      <c r="B57" s="363"/>
      <c r="C57" s="363"/>
      <c r="D57" s="363"/>
      <c r="E57" s="363"/>
    </row>
    <row r="58" spans="1:5" ht="17.25" customHeight="1">
      <c r="A58" s="88"/>
      <c r="B58" s="89"/>
      <c r="C58" s="89"/>
      <c r="D58" s="89"/>
      <c r="E58" s="89"/>
    </row>
    <row r="59" spans="1:6" ht="29.25" customHeight="1">
      <c r="A59" s="301" t="s">
        <v>240</v>
      </c>
      <c r="B59" s="302"/>
      <c r="C59" s="302"/>
      <c r="D59" s="302"/>
      <c r="E59" s="306"/>
      <c r="F59" s="1">
        <f>B74+B88+B102+B115+B123+B137+B150+B164+B184+B203+B223+B247+B260+B274+B294+B308+B325+B338+B352+B375+B393+B407+B425+B443+B453+B467+B485+B505+B523+B536+B551+B570+B589+B601+B620+B637+B653+B668</f>
        <v>2884</v>
      </c>
    </row>
    <row r="60" spans="1:5" ht="24.75" customHeight="1">
      <c r="A60" s="39" t="s">
        <v>211</v>
      </c>
      <c r="B60" s="39" t="s">
        <v>212</v>
      </c>
      <c r="C60" s="39" t="s">
        <v>213</v>
      </c>
      <c r="D60" s="39" t="s">
        <v>214</v>
      </c>
      <c r="E60" s="38" t="s">
        <v>215</v>
      </c>
    </row>
    <row r="61" spans="1:6" ht="17.25" customHeight="1">
      <c r="A61" s="303" t="s">
        <v>216</v>
      </c>
      <c r="B61" s="304"/>
      <c r="C61" s="305"/>
      <c r="D61" s="194"/>
      <c r="E61" s="197"/>
      <c r="F61" s="1">
        <f>B62+B63+B64+B65+B66+B68+B69+B70+B71+B72</f>
        <v>249</v>
      </c>
    </row>
    <row r="62" spans="1:5" ht="17.25" customHeight="1">
      <c r="A62" s="110">
        <v>90</v>
      </c>
      <c r="B62" s="111">
        <v>27</v>
      </c>
      <c r="C62" s="111" t="s">
        <v>217</v>
      </c>
      <c r="D62" s="110" t="s">
        <v>218</v>
      </c>
      <c r="E62" s="111">
        <v>1301</v>
      </c>
    </row>
    <row r="63" spans="1:5" ht="17.25" customHeight="1">
      <c r="A63" s="110">
        <v>91</v>
      </c>
      <c r="B63" s="111">
        <v>25</v>
      </c>
      <c r="C63" s="111" t="s">
        <v>217</v>
      </c>
      <c r="D63" s="110" t="s">
        <v>219</v>
      </c>
      <c r="E63" s="111">
        <v>1214</v>
      </c>
    </row>
    <row r="64" spans="1:5" ht="17.25" customHeight="1">
      <c r="A64" s="110">
        <v>92</v>
      </c>
      <c r="B64" s="111">
        <v>14</v>
      </c>
      <c r="C64" s="111" t="s">
        <v>217</v>
      </c>
      <c r="D64" s="110" t="s">
        <v>220</v>
      </c>
      <c r="E64" s="111">
        <v>678</v>
      </c>
    </row>
    <row r="65" spans="1:5" ht="17.25" customHeight="1">
      <c r="A65" s="110">
        <v>93</v>
      </c>
      <c r="B65" s="111">
        <v>25</v>
      </c>
      <c r="C65" s="111" t="s">
        <v>217</v>
      </c>
      <c r="D65" s="110" t="s">
        <v>225</v>
      </c>
      <c r="E65" s="111">
        <v>1201</v>
      </c>
    </row>
    <row r="66" spans="1:5" ht="17.25" customHeight="1">
      <c r="A66" s="110">
        <v>94</v>
      </c>
      <c r="B66" s="111">
        <v>18</v>
      </c>
      <c r="C66" s="111" t="s">
        <v>217</v>
      </c>
      <c r="D66" s="110" t="s">
        <v>226</v>
      </c>
      <c r="E66" s="111">
        <v>835</v>
      </c>
    </row>
    <row r="67" spans="1:5" ht="72.75" customHeight="1">
      <c r="A67" s="110">
        <v>95</v>
      </c>
      <c r="B67" s="111">
        <v>20</v>
      </c>
      <c r="C67" s="123" t="s">
        <v>239</v>
      </c>
      <c r="D67" s="116" t="s">
        <v>255</v>
      </c>
      <c r="E67" s="115">
        <v>4276</v>
      </c>
    </row>
    <row r="68" spans="1:5" ht="17.25" customHeight="1">
      <c r="A68" s="110">
        <v>96</v>
      </c>
      <c r="B68" s="111">
        <v>27</v>
      </c>
      <c r="C68" s="112" t="s">
        <v>217</v>
      </c>
      <c r="D68" s="110" t="s">
        <v>256</v>
      </c>
      <c r="E68" s="115">
        <v>1303</v>
      </c>
    </row>
    <row r="69" spans="1:5" ht="17.25" customHeight="1">
      <c r="A69" s="110">
        <v>97</v>
      </c>
      <c r="B69" s="111">
        <v>26</v>
      </c>
      <c r="C69" s="112" t="s">
        <v>217</v>
      </c>
      <c r="D69" s="110" t="s">
        <v>257</v>
      </c>
      <c r="E69" s="115">
        <v>1209</v>
      </c>
    </row>
    <row r="70" spans="1:5" ht="17.25" customHeight="1">
      <c r="A70" s="110">
        <v>98</v>
      </c>
      <c r="B70" s="111">
        <v>27</v>
      </c>
      <c r="C70" s="112" t="s">
        <v>224</v>
      </c>
      <c r="D70" s="116" t="s">
        <v>256</v>
      </c>
      <c r="E70" s="111">
        <v>1286</v>
      </c>
    </row>
    <row r="71" spans="1:5" ht="17.25" customHeight="1">
      <c r="A71" s="110">
        <v>99</v>
      </c>
      <c r="B71" s="111">
        <v>30</v>
      </c>
      <c r="C71" s="112" t="s">
        <v>224</v>
      </c>
      <c r="D71" s="116" t="s">
        <v>258</v>
      </c>
      <c r="E71" s="111">
        <v>1365</v>
      </c>
    </row>
    <row r="72" spans="1:5" ht="17.25" customHeight="1">
      <c r="A72" s="110">
        <v>100</v>
      </c>
      <c r="B72" s="111">
        <v>30</v>
      </c>
      <c r="C72" s="112" t="s">
        <v>224</v>
      </c>
      <c r="D72" s="116" t="s">
        <v>258</v>
      </c>
      <c r="E72" s="111">
        <v>1374</v>
      </c>
    </row>
    <row r="73" spans="1:5" ht="17.25" customHeight="1">
      <c r="A73" s="196"/>
      <c r="B73" s="124">
        <f>SUM(B62:B72)</f>
        <v>269</v>
      </c>
      <c r="C73" s="124"/>
      <c r="D73" s="124"/>
      <c r="E73" s="124">
        <f>SUM(E62:E72)</f>
        <v>16042</v>
      </c>
    </row>
    <row r="74" spans="1:5" ht="17.25" customHeight="1">
      <c r="A74" s="194" t="s">
        <v>14</v>
      </c>
      <c r="B74" s="124">
        <f>B73</f>
        <v>269</v>
      </c>
      <c r="C74" s="124"/>
      <c r="D74" s="124"/>
      <c r="E74" s="124">
        <f>E73</f>
        <v>16042</v>
      </c>
    </row>
    <row r="75" spans="1:5" ht="17.25" customHeight="1">
      <c r="A75" s="197"/>
      <c r="B75" s="125"/>
      <c r="C75" s="125"/>
      <c r="D75" s="125"/>
      <c r="E75" s="125"/>
    </row>
    <row r="76" spans="1:5" ht="27.75" customHeight="1">
      <c r="A76" s="301" t="s">
        <v>288</v>
      </c>
      <c r="B76" s="302"/>
      <c r="C76" s="302"/>
      <c r="D76" s="302"/>
      <c r="E76" s="302"/>
    </row>
    <row r="77" spans="1:5" ht="24.75" customHeight="1">
      <c r="A77" s="39" t="s">
        <v>211</v>
      </c>
      <c r="B77" s="39" t="s">
        <v>212</v>
      </c>
      <c r="C77" s="39" t="s">
        <v>213</v>
      </c>
      <c r="D77" s="39" t="s">
        <v>214</v>
      </c>
      <c r="E77" s="38" t="s">
        <v>215</v>
      </c>
    </row>
    <row r="78" spans="1:5" ht="17.25" customHeight="1">
      <c r="A78" s="303" t="s">
        <v>222</v>
      </c>
      <c r="B78" s="304"/>
      <c r="C78" s="305"/>
      <c r="D78" s="39"/>
      <c r="E78" s="38"/>
    </row>
    <row r="79" spans="1:5" ht="17.25" customHeight="1">
      <c r="A79" s="108" t="s">
        <v>278</v>
      </c>
      <c r="B79" s="103">
        <v>7</v>
      </c>
      <c r="C79" s="103" t="s">
        <v>227</v>
      </c>
      <c r="D79" s="103" t="s">
        <v>279</v>
      </c>
      <c r="E79" s="103">
        <v>780</v>
      </c>
    </row>
    <row r="80" spans="1:5" ht="17.25" customHeight="1">
      <c r="A80" s="196"/>
      <c r="B80" s="87">
        <f>SUM(B79:B79)</f>
        <v>7</v>
      </c>
      <c r="C80" s="87"/>
      <c r="D80" s="87"/>
      <c r="E80" s="87">
        <f>SUM(E79:E79)</f>
        <v>780</v>
      </c>
    </row>
    <row r="81" spans="1:5" ht="17.25" customHeight="1">
      <c r="A81" s="303" t="s">
        <v>216</v>
      </c>
      <c r="B81" s="304"/>
      <c r="C81" s="305"/>
      <c r="D81" s="33"/>
      <c r="E81" s="33"/>
    </row>
    <row r="82" spans="1:5" ht="17.25" customHeight="1">
      <c r="A82" s="108" t="s">
        <v>280</v>
      </c>
      <c r="B82" s="103">
        <v>4</v>
      </c>
      <c r="C82" s="107" t="s">
        <v>231</v>
      </c>
      <c r="D82" s="103" t="s">
        <v>281</v>
      </c>
      <c r="E82" s="103">
        <v>466</v>
      </c>
    </row>
    <row r="83" spans="1:5" ht="17.25" customHeight="1">
      <c r="A83" s="108" t="s">
        <v>280</v>
      </c>
      <c r="B83" s="103">
        <v>1</v>
      </c>
      <c r="C83" s="107" t="s">
        <v>239</v>
      </c>
      <c r="D83" s="103" t="s">
        <v>259</v>
      </c>
      <c r="E83" s="103">
        <v>220</v>
      </c>
    </row>
    <row r="84" spans="1:5" ht="17.25" customHeight="1">
      <c r="A84" s="108" t="s">
        <v>280</v>
      </c>
      <c r="B84" s="103">
        <v>1</v>
      </c>
      <c r="C84" s="107" t="s">
        <v>242</v>
      </c>
      <c r="D84" s="103" t="s">
        <v>282</v>
      </c>
      <c r="E84" s="103">
        <v>295</v>
      </c>
    </row>
    <row r="85" spans="1:5" ht="17.25" customHeight="1">
      <c r="A85" s="108" t="s">
        <v>283</v>
      </c>
      <c r="B85" s="103">
        <v>1</v>
      </c>
      <c r="C85" s="103" t="s">
        <v>227</v>
      </c>
      <c r="D85" s="39" t="s">
        <v>243</v>
      </c>
      <c r="E85" s="103">
        <v>87</v>
      </c>
    </row>
    <row r="86" spans="1:5" ht="17.25" customHeight="1">
      <c r="A86" s="108" t="s">
        <v>284</v>
      </c>
      <c r="B86" s="103">
        <v>1</v>
      </c>
      <c r="C86" s="107" t="s">
        <v>231</v>
      </c>
      <c r="D86" s="39" t="s">
        <v>243</v>
      </c>
      <c r="E86" s="103">
        <v>115</v>
      </c>
    </row>
    <row r="87" spans="1:5" ht="17.25" customHeight="1">
      <c r="A87" s="39"/>
      <c r="B87" s="194">
        <f>SUM(B82:B86)</f>
        <v>8</v>
      </c>
      <c r="C87" s="194"/>
      <c r="D87" s="194"/>
      <c r="E87" s="194">
        <f>SUM(E82:E86)</f>
        <v>1183</v>
      </c>
    </row>
    <row r="88" spans="1:5" ht="17.25" customHeight="1">
      <c r="A88" s="194" t="s">
        <v>14</v>
      </c>
      <c r="B88" s="124">
        <f>B80+B87</f>
        <v>15</v>
      </c>
      <c r="C88" s="124"/>
      <c r="D88" s="124"/>
      <c r="E88" s="124">
        <f>E80+E87</f>
        <v>1963</v>
      </c>
    </row>
    <row r="89" spans="1:5" ht="17.25" customHeight="1">
      <c r="A89" s="197"/>
      <c r="B89" s="125"/>
      <c r="C89" s="126"/>
      <c r="D89" s="124"/>
      <c r="E89" s="124"/>
    </row>
    <row r="90" spans="1:5" ht="31.5" customHeight="1">
      <c r="A90" s="301" t="s">
        <v>585</v>
      </c>
      <c r="B90" s="302"/>
      <c r="C90" s="302"/>
      <c r="D90" s="302"/>
      <c r="E90" s="302"/>
    </row>
    <row r="91" spans="1:5" ht="24.75" customHeight="1">
      <c r="A91" s="39" t="s">
        <v>211</v>
      </c>
      <c r="B91" s="39" t="s">
        <v>212</v>
      </c>
      <c r="C91" s="39" t="s">
        <v>213</v>
      </c>
      <c r="D91" s="39" t="s">
        <v>214</v>
      </c>
      <c r="E91" s="38" t="s">
        <v>215</v>
      </c>
    </row>
    <row r="92" spans="1:5" ht="17.25" customHeight="1">
      <c r="A92" s="303" t="s">
        <v>222</v>
      </c>
      <c r="B92" s="304"/>
      <c r="C92" s="305"/>
      <c r="D92" s="39"/>
      <c r="E92" s="38"/>
    </row>
    <row r="93" spans="1:5" ht="17.25" customHeight="1">
      <c r="A93" s="39">
        <v>996</v>
      </c>
      <c r="B93" s="39">
        <v>3</v>
      </c>
      <c r="C93" s="39" t="s">
        <v>217</v>
      </c>
      <c r="D93" s="39" t="s">
        <v>289</v>
      </c>
      <c r="E93" s="104">
        <v>216</v>
      </c>
    </row>
    <row r="94" spans="1:5" ht="17.25" customHeight="1">
      <c r="A94" s="39">
        <v>997</v>
      </c>
      <c r="B94" s="39">
        <v>3</v>
      </c>
      <c r="C94" s="39" t="s">
        <v>236</v>
      </c>
      <c r="D94" s="39" t="s">
        <v>290</v>
      </c>
      <c r="E94" s="104">
        <v>304</v>
      </c>
    </row>
    <row r="95" spans="1:5" ht="17.25" customHeight="1">
      <c r="A95" s="196"/>
      <c r="B95" s="87">
        <f>SUM(B93:B94)</f>
        <v>6</v>
      </c>
      <c r="C95" s="87"/>
      <c r="D95" s="87"/>
      <c r="E95" s="87">
        <f>SUM(E93:E94)</f>
        <v>520</v>
      </c>
    </row>
    <row r="96" spans="1:5" ht="17.25" customHeight="1">
      <c r="A96" s="303" t="s">
        <v>216</v>
      </c>
      <c r="B96" s="304"/>
      <c r="C96" s="305"/>
      <c r="D96" s="33"/>
      <c r="E96" s="33"/>
    </row>
    <row r="97" spans="1:5" ht="17.25" customHeight="1">
      <c r="A97" s="69">
        <v>998</v>
      </c>
      <c r="B97" s="90">
        <v>3</v>
      </c>
      <c r="C97" s="69" t="s">
        <v>235</v>
      </c>
      <c r="D97" s="39" t="s">
        <v>238</v>
      </c>
      <c r="E97" s="105">
        <v>137</v>
      </c>
    </row>
    <row r="98" spans="1:5" ht="17.25" customHeight="1">
      <c r="A98" s="69">
        <v>999</v>
      </c>
      <c r="B98" s="90">
        <v>14</v>
      </c>
      <c r="C98" s="69" t="s">
        <v>217</v>
      </c>
      <c r="D98" s="39" t="s">
        <v>291</v>
      </c>
      <c r="E98" s="105">
        <v>1255</v>
      </c>
    </row>
    <row r="99" spans="1:5" ht="17.25" customHeight="1">
      <c r="A99" s="69">
        <v>1000</v>
      </c>
      <c r="B99" s="90">
        <v>7</v>
      </c>
      <c r="C99" s="69" t="s">
        <v>217</v>
      </c>
      <c r="D99" s="39" t="s">
        <v>292</v>
      </c>
      <c r="E99" s="105">
        <v>613</v>
      </c>
    </row>
    <row r="100" spans="1:5" ht="17.25" customHeight="1">
      <c r="A100" s="69">
        <v>1001</v>
      </c>
      <c r="B100" s="90">
        <v>1</v>
      </c>
      <c r="C100" s="69" t="s">
        <v>236</v>
      </c>
      <c r="D100" s="39" t="s">
        <v>237</v>
      </c>
      <c r="E100" s="105">
        <v>101</v>
      </c>
    </row>
    <row r="101" spans="1:5" ht="17.25" customHeight="1">
      <c r="A101" s="39"/>
      <c r="B101" s="194">
        <f>SUM(B97:B100)</f>
        <v>25</v>
      </c>
      <c r="C101" s="194"/>
      <c r="D101" s="194"/>
      <c r="E101" s="194">
        <f>SUM(E97:E100)</f>
        <v>2106</v>
      </c>
    </row>
    <row r="102" spans="1:5" ht="17.25" customHeight="1">
      <c r="A102" s="194" t="s">
        <v>14</v>
      </c>
      <c r="B102" s="124">
        <f>B95+B101</f>
        <v>31</v>
      </c>
      <c r="C102" s="124"/>
      <c r="D102" s="124"/>
      <c r="E102" s="124">
        <f>E95+E101</f>
        <v>2626</v>
      </c>
    </row>
    <row r="103" spans="1:5" ht="17.25" customHeight="1">
      <c r="A103" s="197"/>
      <c r="B103" s="125"/>
      <c r="C103" s="126"/>
      <c r="D103" s="124"/>
      <c r="E103" s="124"/>
    </row>
    <row r="104" spans="1:7" ht="27.75" customHeight="1">
      <c r="A104" s="301" t="s">
        <v>586</v>
      </c>
      <c r="B104" s="302"/>
      <c r="C104" s="302"/>
      <c r="D104" s="302"/>
      <c r="E104" s="302"/>
      <c r="F104" s="130"/>
      <c r="G104" s="130"/>
    </row>
    <row r="105" spans="1:7" ht="21.75" customHeight="1">
      <c r="A105" s="39" t="s">
        <v>211</v>
      </c>
      <c r="B105" s="39" t="s">
        <v>212</v>
      </c>
      <c r="C105" s="39" t="s">
        <v>213</v>
      </c>
      <c r="D105" s="39" t="s">
        <v>214</v>
      </c>
      <c r="E105" s="38" t="s">
        <v>215</v>
      </c>
      <c r="F105" s="130"/>
      <c r="G105" s="130"/>
    </row>
    <row r="106" spans="1:7" ht="17.25" customHeight="1">
      <c r="A106" s="303" t="s">
        <v>222</v>
      </c>
      <c r="B106" s="304"/>
      <c r="C106" s="305"/>
      <c r="D106" s="39"/>
      <c r="E106" s="38"/>
      <c r="F106" s="130"/>
      <c r="G106" s="130"/>
    </row>
    <row r="107" spans="1:7" ht="17.25" customHeight="1">
      <c r="A107" s="44">
        <v>431</v>
      </c>
      <c r="B107" s="44">
        <v>6</v>
      </c>
      <c r="C107" s="44" t="s">
        <v>227</v>
      </c>
      <c r="D107" s="44" t="s">
        <v>295</v>
      </c>
      <c r="E107" s="44">
        <v>696</v>
      </c>
      <c r="F107" s="130"/>
      <c r="G107" s="130"/>
    </row>
    <row r="108" spans="1:7" ht="17.25" customHeight="1">
      <c r="A108" s="44">
        <v>431</v>
      </c>
      <c r="B108" s="44">
        <v>2</v>
      </c>
      <c r="C108" s="44" t="s">
        <v>224</v>
      </c>
      <c r="D108" s="44" t="s">
        <v>296</v>
      </c>
      <c r="E108" s="44">
        <v>174</v>
      </c>
      <c r="F108" s="130"/>
      <c r="G108" s="130"/>
    </row>
    <row r="109" spans="1:7" ht="17.25" customHeight="1">
      <c r="A109" s="194"/>
      <c r="B109" s="194">
        <f>SUM(B107:B108)</f>
        <v>8</v>
      </c>
      <c r="C109" s="194"/>
      <c r="D109" s="194"/>
      <c r="E109" s="194">
        <f>SUM(E107:E108)</f>
        <v>870</v>
      </c>
      <c r="F109" s="130"/>
      <c r="G109" s="130"/>
    </row>
    <row r="110" spans="1:7" ht="17.25" customHeight="1">
      <c r="A110" s="303" t="s">
        <v>216</v>
      </c>
      <c r="B110" s="304"/>
      <c r="C110" s="305"/>
      <c r="D110" s="194"/>
      <c r="E110" s="197"/>
      <c r="F110" s="130"/>
      <c r="G110" s="130"/>
    </row>
    <row r="111" spans="1:7" ht="17.25" customHeight="1">
      <c r="A111" s="44">
        <v>433</v>
      </c>
      <c r="B111" s="44">
        <v>2</v>
      </c>
      <c r="C111" s="107" t="s">
        <v>231</v>
      </c>
      <c r="D111" s="44" t="s">
        <v>297</v>
      </c>
      <c r="E111" s="44">
        <v>250</v>
      </c>
      <c r="F111" s="130"/>
      <c r="G111" s="130"/>
    </row>
    <row r="112" spans="1:7" ht="17.25" customHeight="1">
      <c r="A112" s="44">
        <v>432</v>
      </c>
      <c r="B112" s="44">
        <v>1</v>
      </c>
      <c r="C112" s="44" t="s">
        <v>227</v>
      </c>
      <c r="D112" s="44" t="s">
        <v>237</v>
      </c>
      <c r="E112" s="44">
        <v>90</v>
      </c>
      <c r="F112" s="130"/>
      <c r="G112" s="130"/>
    </row>
    <row r="113" spans="1:7" ht="17.25" customHeight="1">
      <c r="A113" s="44">
        <v>432</v>
      </c>
      <c r="B113" s="44">
        <v>1</v>
      </c>
      <c r="C113" s="107" t="s">
        <v>231</v>
      </c>
      <c r="D113" s="44" t="s">
        <v>237</v>
      </c>
      <c r="E113" s="44">
        <v>125</v>
      </c>
      <c r="F113" s="130"/>
      <c r="G113" s="130"/>
    </row>
    <row r="114" spans="1:7" ht="17.25" customHeight="1">
      <c r="A114" s="39"/>
      <c r="B114" s="194">
        <f>SUM(B111:B113)</f>
        <v>4</v>
      </c>
      <c r="C114" s="194"/>
      <c r="D114" s="194"/>
      <c r="E114" s="194">
        <f>SUM(E111:E113)</f>
        <v>465</v>
      </c>
      <c r="F114" s="130"/>
      <c r="G114" s="130"/>
    </row>
    <row r="115" spans="1:7" ht="17.25" customHeight="1">
      <c r="A115" s="194" t="s">
        <v>14</v>
      </c>
      <c r="B115" s="124">
        <f>B109+B114</f>
        <v>12</v>
      </c>
      <c r="C115" s="124"/>
      <c r="D115" s="124"/>
      <c r="E115" s="124">
        <f>E109+E114</f>
        <v>1335</v>
      </c>
      <c r="F115" s="130"/>
      <c r="G115" s="130"/>
    </row>
    <row r="116" spans="1:7" ht="17.25" customHeight="1">
      <c r="A116" s="197"/>
      <c r="B116" s="125"/>
      <c r="C116" s="126"/>
      <c r="D116" s="124"/>
      <c r="E116" s="124"/>
      <c r="F116" s="130"/>
      <c r="G116" s="130"/>
    </row>
    <row r="117" spans="1:7" ht="27" customHeight="1">
      <c r="A117" s="301" t="s">
        <v>587</v>
      </c>
      <c r="B117" s="302"/>
      <c r="C117" s="302"/>
      <c r="D117" s="302"/>
      <c r="E117" s="302"/>
      <c r="F117" s="130"/>
      <c r="G117" s="130"/>
    </row>
    <row r="118" spans="1:7" ht="23.25" customHeight="1">
      <c r="A118" s="39" t="s">
        <v>211</v>
      </c>
      <c r="B118" s="39" t="s">
        <v>212</v>
      </c>
      <c r="C118" s="39" t="s">
        <v>213</v>
      </c>
      <c r="D118" s="39" t="s">
        <v>214</v>
      </c>
      <c r="E118" s="38" t="s">
        <v>215</v>
      </c>
      <c r="F118" s="130"/>
      <c r="G118" s="130"/>
    </row>
    <row r="119" spans="1:7" ht="17.25" customHeight="1">
      <c r="A119" s="303" t="s">
        <v>216</v>
      </c>
      <c r="B119" s="304"/>
      <c r="C119" s="305"/>
      <c r="D119" s="194"/>
      <c r="E119" s="197"/>
      <c r="F119" s="130"/>
      <c r="G119" s="130"/>
    </row>
    <row r="120" spans="1:7" ht="17.25" customHeight="1">
      <c r="A120" s="110">
        <v>109</v>
      </c>
      <c r="B120" s="111">
        <v>25</v>
      </c>
      <c r="C120" s="111" t="s">
        <v>217</v>
      </c>
      <c r="D120" s="39" t="s">
        <v>298</v>
      </c>
      <c r="E120" s="136">
        <v>1149</v>
      </c>
      <c r="F120" s="130"/>
      <c r="G120" s="130"/>
    </row>
    <row r="121" spans="1:7" ht="17.25" customHeight="1">
      <c r="A121" s="111">
        <v>110</v>
      </c>
      <c r="B121" s="111">
        <v>29</v>
      </c>
      <c r="C121" s="111" t="s">
        <v>217</v>
      </c>
      <c r="D121" s="39" t="s">
        <v>299</v>
      </c>
      <c r="E121" s="136">
        <v>1347</v>
      </c>
      <c r="F121" s="130"/>
      <c r="G121" s="130"/>
    </row>
    <row r="122" spans="1:7" ht="17.25" customHeight="1">
      <c r="A122" s="39"/>
      <c r="B122" s="194">
        <f>SUM(B120:B121)</f>
        <v>54</v>
      </c>
      <c r="C122" s="194"/>
      <c r="D122" s="194"/>
      <c r="E122" s="197">
        <f>SUM(E120:E121)</f>
        <v>2496</v>
      </c>
      <c r="F122" s="130"/>
      <c r="G122" s="130"/>
    </row>
    <row r="123" spans="1:7" ht="17.25" customHeight="1">
      <c r="A123" s="194" t="s">
        <v>14</v>
      </c>
      <c r="B123" s="124">
        <f>B122</f>
        <v>54</v>
      </c>
      <c r="C123" s="124"/>
      <c r="D123" s="124"/>
      <c r="E123" s="124">
        <f>E122</f>
        <v>2496</v>
      </c>
      <c r="F123" s="130"/>
      <c r="G123" s="130"/>
    </row>
    <row r="124" spans="1:7" ht="17.25" customHeight="1">
      <c r="A124" s="197"/>
      <c r="B124" s="125"/>
      <c r="C124" s="126"/>
      <c r="D124" s="124"/>
      <c r="E124" s="124"/>
      <c r="F124" s="130"/>
      <c r="G124" s="130"/>
    </row>
    <row r="125" spans="1:7" ht="27.75" customHeight="1">
      <c r="A125" s="301" t="s">
        <v>588</v>
      </c>
      <c r="B125" s="302"/>
      <c r="C125" s="302"/>
      <c r="D125" s="302"/>
      <c r="E125" s="302"/>
      <c r="F125" s="130"/>
      <c r="G125" s="130"/>
    </row>
    <row r="126" spans="1:7" ht="24.75" customHeight="1">
      <c r="A126" s="39" t="s">
        <v>211</v>
      </c>
      <c r="B126" s="39" t="s">
        <v>212</v>
      </c>
      <c r="C126" s="39" t="s">
        <v>213</v>
      </c>
      <c r="D126" s="39" t="s">
        <v>214</v>
      </c>
      <c r="E126" s="38" t="s">
        <v>215</v>
      </c>
      <c r="F126" s="130"/>
      <c r="G126" s="130"/>
    </row>
    <row r="127" spans="1:7" ht="17.25" customHeight="1">
      <c r="A127" s="303" t="s">
        <v>222</v>
      </c>
      <c r="B127" s="304"/>
      <c r="C127" s="305"/>
      <c r="D127" s="39"/>
      <c r="E127" s="38"/>
      <c r="F127" s="130"/>
      <c r="G127" s="130"/>
    </row>
    <row r="128" spans="1:7" ht="17.25" customHeight="1">
      <c r="A128" s="90">
        <v>1288</v>
      </c>
      <c r="B128" s="90">
        <v>2</v>
      </c>
      <c r="C128" s="90" t="s">
        <v>223</v>
      </c>
      <c r="D128" s="69" t="s">
        <v>300</v>
      </c>
      <c r="E128" s="90">
        <v>110</v>
      </c>
      <c r="F128" s="130"/>
      <c r="G128" s="130"/>
    </row>
    <row r="129" spans="1:7" ht="17.25" customHeight="1">
      <c r="A129" s="69">
        <v>1289</v>
      </c>
      <c r="B129" s="90">
        <v>8</v>
      </c>
      <c r="C129" s="90" t="s">
        <v>217</v>
      </c>
      <c r="D129" s="69" t="s">
        <v>301</v>
      </c>
      <c r="E129" s="69">
        <v>624</v>
      </c>
      <c r="F129" s="130"/>
      <c r="G129" s="130"/>
    </row>
    <row r="130" spans="1:7" ht="17.25" customHeight="1">
      <c r="A130" s="69">
        <v>1290</v>
      </c>
      <c r="B130" s="39">
        <v>4</v>
      </c>
      <c r="C130" s="39" t="s">
        <v>227</v>
      </c>
      <c r="D130" s="39" t="s">
        <v>302</v>
      </c>
      <c r="E130" s="39">
        <v>440</v>
      </c>
      <c r="F130" s="130"/>
      <c r="G130" s="130"/>
    </row>
    <row r="131" spans="1:7" ht="17.25" customHeight="1">
      <c r="A131" s="194"/>
      <c r="B131" s="194">
        <f>SUM(B128:B130)</f>
        <v>14</v>
      </c>
      <c r="C131" s="194"/>
      <c r="D131" s="194"/>
      <c r="E131" s="194">
        <f>SUM(E128:E130)</f>
        <v>1174</v>
      </c>
      <c r="F131" s="130"/>
      <c r="G131" s="130"/>
    </row>
    <row r="132" spans="1:7" ht="17.25" customHeight="1">
      <c r="A132" s="303" t="s">
        <v>216</v>
      </c>
      <c r="B132" s="304"/>
      <c r="C132" s="305"/>
      <c r="D132" s="194"/>
      <c r="E132" s="197"/>
      <c r="F132" s="130"/>
      <c r="G132" s="130"/>
    </row>
    <row r="133" spans="1:7" ht="17.25" customHeight="1">
      <c r="A133" s="135">
        <v>1292</v>
      </c>
      <c r="B133" s="59">
        <v>3</v>
      </c>
      <c r="C133" s="195" t="s">
        <v>239</v>
      </c>
      <c r="D133" s="39" t="s">
        <v>303</v>
      </c>
      <c r="E133" s="59">
        <v>636</v>
      </c>
      <c r="F133" s="130"/>
      <c r="G133" s="130"/>
    </row>
    <row r="134" spans="1:7" ht="17.25" customHeight="1">
      <c r="A134" s="134">
        <v>1293</v>
      </c>
      <c r="B134" s="90">
        <v>3</v>
      </c>
      <c r="C134" s="195" t="s">
        <v>242</v>
      </c>
      <c r="D134" s="39" t="s">
        <v>304</v>
      </c>
      <c r="E134" s="69">
        <v>830</v>
      </c>
      <c r="F134" s="130"/>
      <c r="G134" s="130"/>
    </row>
    <row r="135" spans="1:7" ht="17.25" customHeight="1">
      <c r="A135" s="135">
        <v>1291</v>
      </c>
      <c r="B135" s="59">
        <v>25</v>
      </c>
      <c r="C135" s="39" t="s">
        <v>217</v>
      </c>
      <c r="D135" s="39" t="s">
        <v>298</v>
      </c>
      <c r="E135" s="59">
        <v>1426</v>
      </c>
      <c r="F135" s="130"/>
      <c r="G135" s="130"/>
    </row>
    <row r="136" spans="1:7" ht="17.25" customHeight="1">
      <c r="A136" s="39"/>
      <c r="B136" s="194">
        <f>SUM(B133:B135)</f>
        <v>31</v>
      </c>
      <c r="C136" s="194"/>
      <c r="D136" s="194"/>
      <c r="E136" s="197">
        <f>SUM(E133:E135)</f>
        <v>2892</v>
      </c>
      <c r="F136" s="130"/>
      <c r="G136" s="130"/>
    </row>
    <row r="137" spans="1:7" ht="17.25" customHeight="1">
      <c r="A137" s="194" t="s">
        <v>14</v>
      </c>
      <c r="B137" s="124">
        <f>B131+B136</f>
        <v>45</v>
      </c>
      <c r="C137" s="124"/>
      <c r="D137" s="124"/>
      <c r="E137" s="124">
        <f>E131+E136</f>
        <v>4066</v>
      </c>
      <c r="F137" s="130"/>
      <c r="G137" s="130"/>
    </row>
    <row r="138" spans="1:7" ht="17.25" customHeight="1">
      <c r="A138" s="197"/>
      <c r="B138" s="125"/>
      <c r="C138" s="126"/>
      <c r="D138" s="124"/>
      <c r="E138" s="124"/>
      <c r="F138" s="130"/>
      <c r="G138" s="130"/>
    </row>
    <row r="139" spans="1:7" ht="27" customHeight="1">
      <c r="A139" s="301" t="s">
        <v>589</v>
      </c>
      <c r="B139" s="302"/>
      <c r="C139" s="302"/>
      <c r="D139" s="302"/>
      <c r="E139" s="302"/>
      <c r="F139" s="130"/>
      <c r="G139" s="130"/>
    </row>
    <row r="140" spans="1:7" ht="27" customHeight="1">
      <c r="A140" s="39" t="s">
        <v>211</v>
      </c>
      <c r="B140" s="39" t="s">
        <v>212</v>
      </c>
      <c r="C140" s="39" t="s">
        <v>213</v>
      </c>
      <c r="D140" s="39" t="s">
        <v>214</v>
      </c>
      <c r="E140" s="38" t="s">
        <v>215</v>
      </c>
      <c r="F140" s="130"/>
      <c r="G140" s="130"/>
    </row>
    <row r="141" spans="1:7" ht="17.25" customHeight="1">
      <c r="A141" s="303" t="s">
        <v>222</v>
      </c>
      <c r="B141" s="304"/>
      <c r="C141" s="305"/>
      <c r="D141" s="39"/>
      <c r="E141" s="38"/>
      <c r="F141" s="130"/>
      <c r="G141" s="130"/>
    </row>
    <row r="142" spans="1:7" ht="17.25" customHeight="1">
      <c r="A142" s="39">
        <v>1123</v>
      </c>
      <c r="B142" s="59">
        <v>4</v>
      </c>
      <c r="C142" s="59" t="s">
        <v>227</v>
      </c>
      <c r="D142" s="39" t="s">
        <v>315</v>
      </c>
      <c r="E142" s="39">
        <v>448</v>
      </c>
      <c r="F142" s="130"/>
      <c r="G142" s="130"/>
    </row>
    <row r="143" spans="1:7" ht="17.25" customHeight="1">
      <c r="A143" s="39">
        <v>1124</v>
      </c>
      <c r="B143" s="59">
        <v>2</v>
      </c>
      <c r="C143" s="59" t="s">
        <v>224</v>
      </c>
      <c r="D143" s="39" t="s">
        <v>316</v>
      </c>
      <c r="E143" s="39">
        <v>166</v>
      </c>
      <c r="F143" s="130"/>
      <c r="G143" s="130"/>
    </row>
    <row r="144" spans="1:7" ht="17.25" customHeight="1">
      <c r="A144" s="39"/>
      <c r="B144" s="194">
        <f>SUM(B142:B143)</f>
        <v>6</v>
      </c>
      <c r="C144" s="194"/>
      <c r="D144" s="194"/>
      <c r="E144" s="194">
        <f>SUM(E142:E143)</f>
        <v>614</v>
      </c>
      <c r="F144" s="130"/>
      <c r="G144" s="130"/>
    </row>
    <row r="145" spans="1:7" ht="17.25" customHeight="1">
      <c r="A145" s="303" t="s">
        <v>216</v>
      </c>
      <c r="B145" s="304"/>
      <c r="C145" s="305"/>
      <c r="D145" s="39"/>
      <c r="E145" s="38"/>
      <c r="F145" s="130"/>
      <c r="G145" s="130"/>
    </row>
    <row r="146" spans="1:7" ht="17.25" customHeight="1">
      <c r="A146" s="69">
        <v>1120</v>
      </c>
      <c r="B146" s="90">
        <v>19</v>
      </c>
      <c r="C146" s="90" t="s">
        <v>227</v>
      </c>
      <c r="D146" s="39" t="s">
        <v>317</v>
      </c>
      <c r="E146" s="69">
        <v>1957</v>
      </c>
      <c r="F146" s="130"/>
      <c r="G146" s="130"/>
    </row>
    <row r="147" spans="1:7" ht="17.25" customHeight="1">
      <c r="A147" s="39">
        <v>1121</v>
      </c>
      <c r="B147" s="39">
        <v>20</v>
      </c>
      <c r="C147" s="90" t="s">
        <v>224</v>
      </c>
      <c r="D147" s="63" t="s">
        <v>318</v>
      </c>
      <c r="E147" s="39">
        <v>1860</v>
      </c>
      <c r="F147" s="130"/>
      <c r="G147" s="130"/>
    </row>
    <row r="148" spans="1:7" ht="17.25" customHeight="1">
      <c r="A148" s="39">
        <v>1122</v>
      </c>
      <c r="B148" s="39">
        <v>12</v>
      </c>
      <c r="C148" s="90" t="s">
        <v>224</v>
      </c>
      <c r="D148" s="63" t="s">
        <v>319</v>
      </c>
      <c r="E148" s="39">
        <v>1134</v>
      </c>
      <c r="F148" s="130"/>
      <c r="G148" s="130"/>
    </row>
    <row r="149" spans="1:7" ht="17.25" customHeight="1">
      <c r="A149" s="39"/>
      <c r="B149" s="194">
        <f>SUM(B146:B148)</f>
        <v>51</v>
      </c>
      <c r="C149" s="194"/>
      <c r="D149" s="194"/>
      <c r="E149" s="197">
        <f>SUM(E146:E148)</f>
        <v>4951</v>
      </c>
      <c r="F149" s="130"/>
      <c r="G149" s="130"/>
    </row>
    <row r="150" spans="1:7" ht="17.25" customHeight="1">
      <c r="A150" s="194" t="s">
        <v>14</v>
      </c>
      <c r="B150" s="124">
        <f>B144+B149</f>
        <v>57</v>
      </c>
      <c r="C150" s="124"/>
      <c r="D150" s="124"/>
      <c r="E150" s="124">
        <f>E144+E149</f>
        <v>5565</v>
      </c>
      <c r="F150" s="130"/>
      <c r="G150" s="130"/>
    </row>
    <row r="151" spans="1:7" ht="17.25" customHeight="1">
      <c r="A151" s="197"/>
      <c r="B151" s="125"/>
      <c r="C151" s="126"/>
      <c r="D151" s="124"/>
      <c r="E151" s="124"/>
      <c r="F151" s="130"/>
      <c r="G151" s="130"/>
    </row>
    <row r="152" spans="1:7" ht="26.25" customHeight="1">
      <c r="A152" s="301" t="s">
        <v>590</v>
      </c>
      <c r="B152" s="302"/>
      <c r="C152" s="302"/>
      <c r="D152" s="302"/>
      <c r="E152" s="302"/>
      <c r="F152" s="130"/>
      <c r="G152" s="130"/>
    </row>
    <row r="153" spans="1:7" ht="26.25" customHeight="1">
      <c r="A153" s="39" t="s">
        <v>211</v>
      </c>
      <c r="B153" s="39" t="s">
        <v>212</v>
      </c>
      <c r="C153" s="39" t="s">
        <v>213</v>
      </c>
      <c r="D153" s="39" t="s">
        <v>214</v>
      </c>
      <c r="E153" s="38" t="s">
        <v>215</v>
      </c>
      <c r="F153" s="130"/>
      <c r="G153" s="130"/>
    </row>
    <row r="154" spans="1:7" ht="17.25" customHeight="1">
      <c r="A154" s="303" t="s">
        <v>222</v>
      </c>
      <c r="B154" s="304"/>
      <c r="C154" s="305"/>
      <c r="D154" s="39"/>
      <c r="E154" s="38"/>
      <c r="F154" s="130"/>
      <c r="G154" s="130"/>
    </row>
    <row r="155" spans="1:7" ht="17.25" customHeight="1">
      <c r="A155" s="59">
        <v>434</v>
      </c>
      <c r="B155" s="59">
        <v>5</v>
      </c>
      <c r="C155" s="59" t="s">
        <v>227</v>
      </c>
      <c r="D155" s="90" t="s">
        <v>324</v>
      </c>
      <c r="E155" s="59">
        <v>540</v>
      </c>
      <c r="F155" s="130"/>
      <c r="G155" s="130"/>
    </row>
    <row r="156" spans="1:7" ht="17.25" customHeight="1">
      <c r="A156" s="59">
        <v>434</v>
      </c>
      <c r="B156" s="59">
        <v>1</v>
      </c>
      <c r="C156" s="59" t="s">
        <v>224</v>
      </c>
      <c r="D156" s="44" t="s">
        <v>325</v>
      </c>
      <c r="E156" s="59">
        <v>85</v>
      </c>
      <c r="F156" s="130"/>
      <c r="G156" s="130"/>
    </row>
    <row r="157" spans="1:7" ht="17.25" customHeight="1">
      <c r="A157" s="39"/>
      <c r="B157" s="194">
        <f>SUM(B155:B156)</f>
        <v>6</v>
      </c>
      <c r="C157" s="194"/>
      <c r="D157" s="194"/>
      <c r="E157" s="194">
        <f>SUM(E155:E156)</f>
        <v>625</v>
      </c>
      <c r="F157" s="130"/>
      <c r="G157" s="130"/>
    </row>
    <row r="158" spans="1:7" ht="17.25" customHeight="1">
      <c r="A158" s="303" t="s">
        <v>216</v>
      </c>
      <c r="B158" s="304"/>
      <c r="C158" s="305"/>
      <c r="D158" s="39"/>
      <c r="E158" s="38"/>
      <c r="F158" s="130"/>
      <c r="G158" s="130"/>
    </row>
    <row r="159" spans="1:7" ht="17.25" customHeight="1">
      <c r="A159" s="39">
        <v>436</v>
      </c>
      <c r="B159" s="181">
        <v>1</v>
      </c>
      <c r="C159" s="195" t="s">
        <v>231</v>
      </c>
      <c r="D159" s="181" t="s">
        <v>326</v>
      </c>
      <c r="E159" s="181">
        <v>124</v>
      </c>
      <c r="F159" s="130"/>
      <c r="G159" s="130"/>
    </row>
    <row r="160" spans="1:7" ht="17.25" customHeight="1">
      <c r="A160" s="59">
        <v>435</v>
      </c>
      <c r="B160" s="203">
        <v>1</v>
      </c>
      <c r="C160" s="203" t="s">
        <v>224</v>
      </c>
      <c r="D160" s="104" t="s">
        <v>322</v>
      </c>
      <c r="E160" s="204">
        <v>60</v>
      </c>
      <c r="F160" s="130"/>
      <c r="G160" s="130"/>
    </row>
    <row r="161" spans="1:7" ht="17.25" customHeight="1">
      <c r="A161" s="39">
        <v>435</v>
      </c>
      <c r="B161" s="181">
        <v>5</v>
      </c>
      <c r="C161" s="181" t="s">
        <v>227</v>
      </c>
      <c r="D161" s="104" t="s">
        <v>328</v>
      </c>
      <c r="E161" s="181">
        <v>450</v>
      </c>
      <c r="F161" s="130"/>
      <c r="G161" s="130"/>
    </row>
    <row r="162" spans="1:7" ht="17.25" customHeight="1">
      <c r="A162" s="39">
        <v>435</v>
      </c>
      <c r="B162" s="181">
        <v>2</v>
      </c>
      <c r="C162" s="195" t="s">
        <v>231</v>
      </c>
      <c r="D162" s="181" t="s">
        <v>327</v>
      </c>
      <c r="E162" s="181">
        <v>225</v>
      </c>
      <c r="F162" s="130"/>
      <c r="G162" s="130"/>
    </row>
    <row r="163" spans="1:7" ht="17.25" customHeight="1">
      <c r="A163" s="39"/>
      <c r="B163" s="194">
        <f>SUM(B159:B162)</f>
        <v>9</v>
      </c>
      <c r="C163" s="194"/>
      <c r="D163" s="194"/>
      <c r="E163" s="197">
        <f>SUM(E159:E162)</f>
        <v>859</v>
      </c>
      <c r="F163" s="130"/>
      <c r="G163" s="130"/>
    </row>
    <row r="164" spans="1:7" ht="17.25" customHeight="1">
      <c r="A164" s="194" t="s">
        <v>14</v>
      </c>
      <c r="B164" s="124">
        <f>B157+B163</f>
        <v>15</v>
      </c>
      <c r="C164" s="124"/>
      <c r="D164" s="124"/>
      <c r="E164" s="124">
        <f>E157+E163</f>
        <v>1484</v>
      </c>
      <c r="F164" s="130"/>
      <c r="G164" s="130"/>
    </row>
    <row r="165" spans="1:7" ht="17.25" customHeight="1">
      <c r="A165" s="197"/>
      <c r="B165" s="125"/>
      <c r="C165" s="126"/>
      <c r="D165" s="124"/>
      <c r="E165" s="124"/>
      <c r="F165" s="130"/>
      <c r="G165" s="130"/>
    </row>
    <row r="166" spans="1:7" ht="27" customHeight="1">
      <c r="A166" s="301" t="s">
        <v>591</v>
      </c>
      <c r="B166" s="302"/>
      <c r="C166" s="302"/>
      <c r="D166" s="302"/>
      <c r="E166" s="302"/>
      <c r="F166" s="130"/>
      <c r="G166" s="130"/>
    </row>
    <row r="167" spans="1:7" ht="23.25" customHeight="1">
      <c r="A167" s="39" t="s">
        <v>211</v>
      </c>
      <c r="B167" s="39" t="s">
        <v>212</v>
      </c>
      <c r="C167" s="39" t="s">
        <v>213</v>
      </c>
      <c r="D167" s="39" t="s">
        <v>214</v>
      </c>
      <c r="E167" s="38" t="s">
        <v>215</v>
      </c>
      <c r="F167" s="130"/>
      <c r="G167" s="130"/>
    </row>
    <row r="168" spans="1:7" ht="17.25" customHeight="1">
      <c r="A168" s="303" t="s">
        <v>222</v>
      </c>
      <c r="B168" s="304"/>
      <c r="C168" s="305"/>
      <c r="D168" s="39"/>
      <c r="E168" s="38"/>
      <c r="F168" s="130"/>
      <c r="G168" s="130"/>
    </row>
    <row r="169" spans="1:7" ht="17.25" customHeight="1">
      <c r="A169" s="39">
        <v>1002</v>
      </c>
      <c r="B169" s="39">
        <v>4</v>
      </c>
      <c r="C169" s="39" t="s">
        <v>236</v>
      </c>
      <c r="D169" s="39" t="s">
        <v>329</v>
      </c>
      <c r="E169" s="39">
        <v>426</v>
      </c>
      <c r="F169" s="130"/>
      <c r="G169" s="130"/>
    </row>
    <row r="170" spans="1:7" ht="17.25" customHeight="1">
      <c r="A170" s="39">
        <v>1006</v>
      </c>
      <c r="B170" s="39">
        <v>1</v>
      </c>
      <c r="C170" s="39" t="s">
        <v>217</v>
      </c>
      <c r="D170" s="39" t="s">
        <v>330</v>
      </c>
      <c r="E170" s="39">
        <v>72</v>
      </c>
      <c r="F170" s="130"/>
      <c r="G170" s="130"/>
    </row>
    <row r="171" spans="1:7" ht="17.25" customHeight="1">
      <c r="A171" s="39">
        <v>1007</v>
      </c>
      <c r="B171" s="39">
        <v>2</v>
      </c>
      <c r="C171" s="39" t="s">
        <v>236</v>
      </c>
      <c r="D171" s="39" t="s">
        <v>331</v>
      </c>
      <c r="E171" s="39">
        <v>213</v>
      </c>
      <c r="F171" s="130"/>
      <c r="G171" s="130"/>
    </row>
    <row r="172" spans="1:7" ht="17.25" customHeight="1">
      <c r="A172" s="39"/>
      <c r="B172" s="194">
        <f>SUM(B169:B171)</f>
        <v>7</v>
      </c>
      <c r="C172" s="194"/>
      <c r="D172" s="194"/>
      <c r="E172" s="194">
        <f>SUM(E169:E171)</f>
        <v>711</v>
      </c>
      <c r="F172" s="130"/>
      <c r="G172" s="130"/>
    </row>
    <row r="173" spans="1:7" ht="17.25" customHeight="1">
      <c r="A173" s="303" t="s">
        <v>216</v>
      </c>
      <c r="B173" s="304"/>
      <c r="C173" s="305"/>
      <c r="D173" s="39"/>
      <c r="E173" s="38"/>
      <c r="F173" s="130"/>
      <c r="G173" s="130"/>
    </row>
    <row r="174" spans="1:8" ht="17.25" customHeight="1">
      <c r="A174" s="69">
        <v>1003</v>
      </c>
      <c r="B174" s="90">
        <v>27</v>
      </c>
      <c r="C174" s="69" t="s">
        <v>217</v>
      </c>
      <c r="D174" s="39" t="s">
        <v>332</v>
      </c>
      <c r="E174" s="69">
        <v>2471</v>
      </c>
      <c r="F174" s="130"/>
      <c r="G174" s="137">
        <f>B174+B175+B177+B178</f>
        <v>41</v>
      </c>
      <c r="H174" s="98">
        <f>B174+B175+B177+B178</f>
        <v>41</v>
      </c>
    </row>
    <row r="175" spans="1:8" ht="17.25" customHeight="1">
      <c r="A175" s="69">
        <v>1004</v>
      </c>
      <c r="B175" s="90">
        <v>3</v>
      </c>
      <c r="C175" s="69" t="s">
        <v>217</v>
      </c>
      <c r="D175" s="39" t="s">
        <v>333</v>
      </c>
      <c r="E175" s="69">
        <v>264</v>
      </c>
      <c r="F175" s="130"/>
      <c r="G175" s="130"/>
      <c r="H175" s="98">
        <f>B176+B179</f>
        <v>2</v>
      </c>
    </row>
    <row r="176" spans="1:7" ht="17.25" customHeight="1">
      <c r="A176" s="69">
        <v>1005</v>
      </c>
      <c r="B176" s="90">
        <v>1</v>
      </c>
      <c r="C176" s="69" t="s">
        <v>227</v>
      </c>
      <c r="D176" s="39" t="s">
        <v>322</v>
      </c>
      <c r="E176" s="69">
        <v>100</v>
      </c>
      <c r="F176" s="130"/>
      <c r="G176" s="130"/>
    </row>
    <row r="177" spans="1:7" ht="17.25" customHeight="1">
      <c r="A177" s="69">
        <v>1009</v>
      </c>
      <c r="B177" s="90">
        <v>8</v>
      </c>
      <c r="C177" s="69" t="s">
        <v>217</v>
      </c>
      <c r="D177" s="39" t="s">
        <v>323</v>
      </c>
      <c r="E177" s="69">
        <v>734</v>
      </c>
      <c r="F177" s="130"/>
      <c r="G177" s="130"/>
    </row>
    <row r="178" spans="1:7" ht="17.25" customHeight="1">
      <c r="A178" s="69">
        <v>1010</v>
      </c>
      <c r="B178" s="90">
        <v>3</v>
      </c>
      <c r="C178" s="69" t="s">
        <v>217</v>
      </c>
      <c r="D178" s="39" t="s">
        <v>333</v>
      </c>
      <c r="E178" s="69">
        <v>254</v>
      </c>
      <c r="F178" s="130"/>
      <c r="G178" s="130"/>
    </row>
    <row r="179" spans="1:7" ht="17.25" customHeight="1">
      <c r="A179" s="69">
        <v>1011</v>
      </c>
      <c r="B179" s="90">
        <v>1</v>
      </c>
      <c r="C179" s="69" t="s">
        <v>236</v>
      </c>
      <c r="D179" s="39" t="s">
        <v>322</v>
      </c>
      <c r="E179" s="69">
        <v>100</v>
      </c>
      <c r="F179" s="130"/>
      <c r="G179" s="130"/>
    </row>
    <row r="180" spans="1:7" ht="17.25" customHeight="1">
      <c r="A180" s="39"/>
      <c r="B180" s="194">
        <f>SUM(B174:B179)</f>
        <v>43</v>
      </c>
      <c r="C180" s="194"/>
      <c r="D180" s="194"/>
      <c r="E180" s="197">
        <f>SUM(E174:E179)</f>
        <v>3923</v>
      </c>
      <c r="F180" s="130"/>
      <c r="G180" s="130"/>
    </row>
    <row r="181" spans="1:7" ht="17.25" customHeight="1">
      <c r="A181" s="303" t="s">
        <v>229</v>
      </c>
      <c r="B181" s="304"/>
      <c r="C181" s="305"/>
      <c r="D181" s="194"/>
      <c r="E181" s="197"/>
      <c r="F181" s="130"/>
      <c r="G181" s="130"/>
    </row>
    <row r="182" spans="1:7" ht="17.25" customHeight="1">
      <c r="A182" s="69">
        <v>1008</v>
      </c>
      <c r="B182" s="90">
        <v>1</v>
      </c>
      <c r="C182" s="69" t="s">
        <v>217</v>
      </c>
      <c r="D182" s="39" t="s">
        <v>322</v>
      </c>
      <c r="E182" s="69">
        <v>45</v>
      </c>
      <c r="F182" s="130"/>
      <c r="G182" s="130"/>
    </row>
    <row r="183" spans="1:7" ht="17.25" customHeight="1">
      <c r="A183" s="39"/>
      <c r="B183" s="194">
        <f>B182</f>
        <v>1</v>
      </c>
      <c r="C183" s="194"/>
      <c r="D183" s="194"/>
      <c r="E183" s="194">
        <f>E182</f>
        <v>45</v>
      </c>
      <c r="F183" s="130"/>
      <c r="G183" s="130"/>
    </row>
    <row r="184" spans="1:7" ht="17.25" customHeight="1">
      <c r="A184" s="194" t="s">
        <v>14</v>
      </c>
      <c r="B184" s="124">
        <f>B172+B180+B183</f>
        <v>51</v>
      </c>
      <c r="C184" s="124"/>
      <c r="D184" s="124"/>
      <c r="E184" s="124">
        <f>E172+E180+E183</f>
        <v>4679</v>
      </c>
      <c r="F184" s="130"/>
      <c r="G184" s="130"/>
    </row>
    <row r="185" spans="1:7" ht="17.25" customHeight="1">
      <c r="A185" s="197"/>
      <c r="B185" s="125"/>
      <c r="C185" s="126"/>
      <c r="D185" s="124"/>
      <c r="E185" s="124"/>
      <c r="F185" s="130"/>
      <c r="G185" s="130"/>
    </row>
    <row r="186" spans="1:7" ht="34.5" customHeight="1">
      <c r="A186" s="301" t="s">
        <v>592</v>
      </c>
      <c r="B186" s="302"/>
      <c r="C186" s="302"/>
      <c r="D186" s="302"/>
      <c r="E186" s="302"/>
      <c r="F186" s="130"/>
      <c r="G186" s="130"/>
    </row>
    <row r="187" spans="1:7" ht="26.25" customHeight="1">
      <c r="A187" s="39" t="s">
        <v>211</v>
      </c>
      <c r="B187" s="39" t="s">
        <v>212</v>
      </c>
      <c r="C187" s="39" t="s">
        <v>213</v>
      </c>
      <c r="D187" s="39" t="s">
        <v>214</v>
      </c>
      <c r="E187" s="38" t="s">
        <v>215</v>
      </c>
      <c r="F187" s="130"/>
      <c r="G187" s="130"/>
    </row>
    <row r="188" spans="1:7" ht="17.25" customHeight="1">
      <c r="A188" s="303" t="s">
        <v>222</v>
      </c>
      <c r="B188" s="304"/>
      <c r="C188" s="305"/>
      <c r="D188" s="39"/>
      <c r="E188" s="38"/>
      <c r="F188" s="130"/>
      <c r="G188" s="130"/>
    </row>
    <row r="189" spans="1:7" ht="18" customHeight="1">
      <c r="A189" s="39">
        <v>1012</v>
      </c>
      <c r="B189" s="176">
        <v>1</v>
      </c>
      <c r="C189" s="176" t="s">
        <v>235</v>
      </c>
      <c r="D189" s="176" t="s">
        <v>259</v>
      </c>
      <c r="E189" s="104">
        <v>56</v>
      </c>
      <c r="F189" s="130"/>
      <c r="G189" s="130"/>
    </row>
    <row r="190" spans="1:7" ht="17.25" customHeight="1">
      <c r="A190" s="205">
        <v>1013</v>
      </c>
      <c r="B190" s="177">
        <v>1</v>
      </c>
      <c r="C190" s="177" t="s">
        <v>217</v>
      </c>
      <c r="D190" s="39" t="s">
        <v>357</v>
      </c>
      <c r="E190" s="177">
        <v>72</v>
      </c>
      <c r="F190" s="130"/>
      <c r="G190" s="130"/>
    </row>
    <row r="191" spans="1:7" ht="17.25" customHeight="1">
      <c r="A191" s="205">
        <v>1014</v>
      </c>
      <c r="B191" s="177">
        <v>5</v>
      </c>
      <c r="C191" s="177" t="s">
        <v>236</v>
      </c>
      <c r="D191" s="39" t="s">
        <v>358</v>
      </c>
      <c r="E191" s="177">
        <v>528</v>
      </c>
      <c r="F191" s="130"/>
      <c r="G191" s="130"/>
    </row>
    <row r="192" spans="1:7" ht="17.25" customHeight="1">
      <c r="A192" s="39"/>
      <c r="B192" s="194">
        <f>SUM(B189:B191)</f>
        <v>7</v>
      </c>
      <c r="C192" s="194"/>
      <c r="D192" s="194"/>
      <c r="E192" s="194">
        <f>SUM(E189:E191)</f>
        <v>656</v>
      </c>
      <c r="F192" s="130"/>
      <c r="G192" s="130"/>
    </row>
    <row r="193" spans="1:7" ht="17.25" customHeight="1">
      <c r="A193" s="303" t="s">
        <v>216</v>
      </c>
      <c r="B193" s="304"/>
      <c r="C193" s="305"/>
      <c r="D193" s="39"/>
      <c r="E193" s="38"/>
      <c r="F193" s="130"/>
      <c r="G193" s="130"/>
    </row>
    <row r="194" spans="1:7" ht="17.25" customHeight="1">
      <c r="A194" s="39">
        <v>1020</v>
      </c>
      <c r="B194" s="59">
        <v>10</v>
      </c>
      <c r="C194" s="195" t="s">
        <v>360</v>
      </c>
      <c r="D194" s="59" t="s">
        <v>361</v>
      </c>
      <c r="E194" s="59">
        <v>1765</v>
      </c>
      <c r="F194" s="130"/>
      <c r="G194" s="130"/>
    </row>
    <row r="195" spans="1:7" ht="17.25" customHeight="1">
      <c r="A195" s="69">
        <v>1016</v>
      </c>
      <c r="B195" s="90">
        <v>2</v>
      </c>
      <c r="C195" s="69" t="s">
        <v>235</v>
      </c>
      <c r="D195" s="104" t="s">
        <v>294</v>
      </c>
      <c r="E195" s="105">
        <v>84</v>
      </c>
      <c r="F195" s="130"/>
      <c r="G195" s="130"/>
    </row>
    <row r="196" spans="1:7" ht="17.25" customHeight="1">
      <c r="A196" s="69">
        <v>1017</v>
      </c>
      <c r="B196" s="90">
        <v>19</v>
      </c>
      <c r="C196" s="69" t="s">
        <v>217</v>
      </c>
      <c r="D196" s="104" t="s">
        <v>359</v>
      </c>
      <c r="E196" s="105">
        <v>1705</v>
      </c>
      <c r="F196" s="130"/>
      <c r="G196" s="130"/>
    </row>
    <row r="197" spans="1:7" ht="17.25" customHeight="1">
      <c r="A197" s="69">
        <v>1018</v>
      </c>
      <c r="B197" s="90">
        <v>3</v>
      </c>
      <c r="C197" s="69" t="s">
        <v>217</v>
      </c>
      <c r="D197" s="104" t="s">
        <v>238</v>
      </c>
      <c r="E197" s="105">
        <v>254</v>
      </c>
      <c r="F197" s="130"/>
      <c r="G197" s="130"/>
    </row>
    <row r="198" spans="1:7" ht="17.25" customHeight="1">
      <c r="A198" s="69">
        <v>1019</v>
      </c>
      <c r="B198" s="90">
        <v>1</v>
      </c>
      <c r="C198" s="69" t="s">
        <v>236</v>
      </c>
      <c r="D198" s="104" t="s">
        <v>237</v>
      </c>
      <c r="E198" s="105">
        <v>100</v>
      </c>
      <c r="F198" s="130"/>
      <c r="G198" s="130"/>
    </row>
    <row r="199" spans="1:7" ht="17.25" customHeight="1">
      <c r="A199" s="39"/>
      <c r="B199" s="194">
        <f>SUM(B194:B198)</f>
        <v>35</v>
      </c>
      <c r="C199" s="194"/>
      <c r="D199" s="194"/>
      <c r="E199" s="194">
        <f>SUM(E194:E198)</f>
        <v>3908</v>
      </c>
      <c r="F199" s="130"/>
      <c r="G199" s="130"/>
    </row>
    <row r="200" spans="1:7" ht="17.25" customHeight="1">
      <c r="A200" s="303" t="s">
        <v>229</v>
      </c>
      <c r="B200" s="304"/>
      <c r="C200" s="305"/>
      <c r="D200" s="155"/>
      <c r="E200" s="194"/>
      <c r="F200" s="130"/>
      <c r="G200" s="130"/>
    </row>
    <row r="201" spans="1:7" ht="17.25" customHeight="1">
      <c r="A201" s="69">
        <v>1015</v>
      </c>
      <c r="B201" s="90">
        <v>1</v>
      </c>
      <c r="C201" s="69" t="s">
        <v>217</v>
      </c>
      <c r="D201" s="104" t="s">
        <v>237</v>
      </c>
      <c r="E201" s="105">
        <v>45</v>
      </c>
      <c r="F201" s="130"/>
      <c r="G201" s="130"/>
    </row>
    <row r="202" spans="1:7" ht="17.25" customHeight="1">
      <c r="A202" s="39"/>
      <c r="B202" s="194">
        <f>B201</f>
        <v>1</v>
      </c>
      <c r="C202" s="194"/>
      <c r="D202" s="194"/>
      <c r="E202" s="194">
        <f>E201</f>
        <v>45</v>
      </c>
      <c r="F202" s="130"/>
      <c r="G202" s="130"/>
    </row>
    <row r="203" spans="1:7" ht="17.25" customHeight="1">
      <c r="A203" s="194" t="s">
        <v>14</v>
      </c>
      <c r="B203" s="124">
        <f>B192+B199+B202</f>
        <v>43</v>
      </c>
      <c r="C203" s="124"/>
      <c r="D203" s="124"/>
      <c r="E203" s="124">
        <f>E192+E199+E202</f>
        <v>4609</v>
      </c>
      <c r="F203" s="130"/>
      <c r="G203" s="130"/>
    </row>
    <row r="204" spans="1:7" ht="17.25" customHeight="1">
      <c r="A204" s="197"/>
      <c r="B204" s="125"/>
      <c r="C204" s="126"/>
      <c r="D204" s="124"/>
      <c r="E204" s="124"/>
      <c r="F204" s="130"/>
      <c r="G204" s="130"/>
    </row>
    <row r="205" spans="1:7" ht="26.25" customHeight="1">
      <c r="A205" s="301" t="s">
        <v>593</v>
      </c>
      <c r="B205" s="302"/>
      <c r="C205" s="302"/>
      <c r="D205" s="302"/>
      <c r="E205" s="302"/>
      <c r="F205" s="130"/>
      <c r="G205" s="130"/>
    </row>
    <row r="206" spans="1:7" ht="29.25" customHeight="1">
      <c r="A206" s="39" t="s">
        <v>211</v>
      </c>
      <c r="B206" s="39" t="s">
        <v>212</v>
      </c>
      <c r="C206" s="39" t="s">
        <v>213</v>
      </c>
      <c r="D206" s="39" t="s">
        <v>214</v>
      </c>
      <c r="E206" s="38" t="s">
        <v>215</v>
      </c>
      <c r="F206" s="130"/>
      <c r="G206" s="130"/>
    </row>
    <row r="207" spans="1:7" ht="19.5" customHeight="1">
      <c r="A207" s="303" t="s">
        <v>222</v>
      </c>
      <c r="B207" s="304"/>
      <c r="C207" s="305"/>
      <c r="D207" s="39"/>
      <c r="E207" s="38"/>
      <c r="F207" s="130"/>
      <c r="G207" s="130"/>
    </row>
    <row r="208" spans="1:7" ht="30">
      <c r="A208" s="39">
        <v>1021</v>
      </c>
      <c r="B208" s="176">
        <v>11</v>
      </c>
      <c r="C208" s="177" t="s">
        <v>236</v>
      </c>
      <c r="D208" s="39" t="s">
        <v>372</v>
      </c>
      <c r="E208" s="177">
        <v>1147</v>
      </c>
      <c r="F208" s="130"/>
      <c r="G208" s="130"/>
    </row>
    <row r="209" spans="1:7" ht="17.25" customHeight="1">
      <c r="A209" s="39"/>
      <c r="B209" s="194">
        <f>SUM(B208:B208)</f>
        <v>11</v>
      </c>
      <c r="C209" s="194"/>
      <c r="D209" s="194"/>
      <c r="E209" s="194">
        <f>SUM(E208:E208)</f>
        <v>1147</v>
      </c>
      <c r="F209" s="130"/>
      <c r="G209" s="130"/>
    </row>
    <row r="210" spans="1:7" ht="17.25" customHeight="1">
      <c r="A210" s="303" t="s">
        <v>216</v>
      </c>
      <c r="B210" s="304"/>
      <c r="C210" s="305"/>
      <c r="D210" s="39"/>
      <c r="E210" s="38"/>
      <c r="F210" s="130"/>
      <c r="G210" s="130"/>
    </row>
    <row r="211" spans="1:7" ht="21" customHeight="1">
      <c r="A211" s="69">
        <v>1022</v>
      </c>
      <c r="B211" s="90">
        <v>25</v>
      </c>
      <c r="C211" s="178" t="s">
        <v>377</v>
      </c>
      <c r="D211" s="104" t="s">
        <v>373</v>
      </c>
      <c r="E211" s="105">
        <v>2568</v>
      </c>
      <c r="F211" s="130"/>
      <c r="G211" s="130"/>
    </row>
    <row r="212" spans="1:7" ht="28.5" customHeight="1">
      <c r="A212" s="69">
        <v>1023</v>
      </c>
      <c r="B212" s="90">
        <v>25</v>
      </c>
      <c r="C212" s="178" t="s">
        <v>231</v>
      </c>
      <c r="D212" s="104" t="s">
        <v>374</v>
      </c>
      <c r="E212" s="105">
        <v>2601</v>
      </c>
      <c r="F212" s="130"/>
      <c r="G212" s="130"/>
    </row>
    <row r="213" spans="1:7" ht="21" customHeight="1">
      <c r="A213" s="69">
        <v>1024</v>
      </c>
      <c r="B213" s="90">
        <v>20</v>
      </c>
      <c r="C213" s="178" t="s">
        <v>378</v>
      </c>
      <c r="D213" s="104" t="s">
        <v>375</v>
      </c>
      <c r="E213" s="105">
        <v>3542</v>
      </c>
      <c r="F213" s="130"/>
      <c r="G213" s="130"/>
    </row>
    <row r="214" spans="1:7" ht="21" customHeight="1">
      <c r="A214" s="39">
        <v>1025</v>
      </c>
      <c r="B214" s="59">
        <v>30</v>
      </c>
      <c r="C214" s="195" t="s">
        <v>379</v>
      </c>
      <c r="D214" s="104" t="s">
        <v>376</v>
      </c>
      <c r="E214" s="104">
        <v>7261</v>
      </c>
      <c r="F214" s="130"/>
      <c r="G214" s="130"/>
    </row>
    <row r="215" spans="1:7" ht="22.5" customHeight="1">
      <c r="A215" s="69">
        <v>1027</v>
      </c>
      <c r="B215" s="90">
        <v>1</v>
      </c>
      <c r="C215" s="69" t="s">
        <v>235</v>
      </c>
      <c r="D215" s="104" t="s">
        <v>237</v>
      </c>
      <c r="E215" s="105">
        <v>36</v>
      </c>
      <c r="F215" s="130"/>
      <c r="G215" s="130"/>
    </row>
    <row r="216" spans="1:7" ht="22.5" customHeight="1">
      <c r="A216" s="69">
        <v>1028</v>
      </c>
      <c r="B216" s="90">
        <v>22</v>
      </c>
      <c r="C216" s="69" t="s">
        <v>217</v>
      </c>
      <c r="D216" s="104" t="s">
        <v>380</v>
      </c>
      <c r="E216" s="105">
        <v>1976</v>
      </c>
      <c r="F216" s="130"/>
      <c r="G216" s="130"/>
    </row>
    <row r="217" spans="1:7" ht="22.5" customHeight="1">
      <c r="A217" s="69">
        <v>1029</v>
      </c>
      <c r="B217" s="90">
        <v>11</v>
      </c>
      <c r="C217" s="69" t="s">
        <v>217</v>
      </c>
      <c r="D217" s="104" t="s">
        <v>381</v>
      </c>
      <c r="E217" s="105">
        <v>926</v>
      </c>
      <c r="F217" s="130"/>
      <c r="G217" s="130"/>
    </row>
    <row r="218" spans="1:7" ht="22.5" customHeight="1">
      <c r="A218" s="69">
        <v>1030</v>
      </c>
      <c r="B218" s="90">
        <v>3</v>
      </c>
      <c r="C218" s="69" t="s">
        <v>236</v>
      </c>
      <c r="D218" s="104" t="s">
        <v>238</v>
      </c>
      <c r="E218" s="105">
        <v>300</v>
      </c>
      <c r="F218" s="130"/>
      <c r="G218" s="130"/>
    </row>
    <row r="219" spans="1:7" ht="17.25" customHeight="1">
      <c r="A219" s="39"/>
      <c r="B219" s="194">
        <f>SUM(B211:B218)</f>
        <v>137</v>
      </c>
      <c r="C219" s="194"/>
      <c r="D219" s="194"/>
      <c r="E219" s="194">
        <f>SUM(E211:E218)</f>
        <v>19210</v>
      </c>
      <c r="F219" s="130"/>
      <c r="G219" s="130"/>
    </row>
    <row r="220" spans="1:7" ht="17.25" customHeight="1">
      <c r="A220" s="303" t="s">
        <v>229</v>
      </c>
      <c r="B220" s="304"/>
      <c r="C220" s="305"/>
      <c r="D220" s="194"/>
      <c r="E220" s="194"/>
      <c r="F220" s="130"/>
      <c r="G220" s="130"/>
    </row>
    <row r="221" spans="1:7" ht="16.5" customHeight="1">
      <c r="A221" s="69">
        <v>1026</v>
      </c>
      <c r="B221" s="90">
        <v>1</v>
      </c>
      <c r="C221" s="69" t="s">
        <v>217</v>
      </c>
      <c r="D221" s="104" t="s">
        <v>237</v>
      </c>
      <c r="E221" s="105">
        <v>45</v>
      </c>
      <c r="F221" s="130"/>
      <c r="G221" s="130"/>
    </row>
    <row r="222" spans="1:7" ht="17.25" customHeight="1">
      <c r="A222" s="39"/>
      <c r="B222" s="194">
        <f>B221</f>
        <v>1</v>
      </c>
      <c r="C222" s="194"/>
      <c r="D222" s="194"/>
      <c r="E222" s="194">
        <f>E221</f>
        <v>45</v>
      </c>
      <c r="F222" s="130"/>
      <c r="G222" s="130"/>
    </row>
    <row r="223" spans="1:7" ht="17.25" customHeight="1">
      <c r="A223" s="194" t="s">
        <v>14</v>
      </c>
      <c r="B223" s="124">
        <f>B209+B219+B222</f>
        <v>149</v>
      </c>
      <c r="C223" s="124"/>
      <c r="D223" s="124"/>
      <c r="E223" s="124">
        <f>E209+E219+E222</f>
        <v>20402</v>
      </c>
      <c r="F223" s="130"/>
      <c r="G223" s="130"/>
    </row>
    <row r="224" spans="1:7" ht="17.25" customHeight="1">
      <c r="A224" s="197"/>
      <c r="B224" s="125"/>
      <c r="C224" s="126"/>
      <c r="D224" s="124"/>
      <c r="E224" s="124"/>
      <c r="F224" s="130"/>
      <c r="G224" s="130"/>
    </row>
    <row r="225" spans="1:7" ht="28.5" customHeight="1">
      <c r="A225" s="301" t="s">
        <v>594</v>
      </c>
      <c r="B225" s="302"/>
      <c r="C225" s="302"/>
      <c r="D225" s="302"/>
      <c r="E225" s="302"/>
      <c r="F225" s="130"/>
      <c r="G225" s="130"/>
    </row>
    <row r="226" spans="1:7" ht="24" customHeight="1">
      <c r="A226" s="39" t="s">
        <v>211</v>
      </c>
      <c r="B226" s="39" t="s">
        <v>212</v>
      </c>
      <c r="C226" s="39" t="s">
        <v>213</v>
      </c>
      <c r="D226" s="39" t="s">
        <v>214</v>
      </c>
      <c r="E226" s="38" t="s">
        <v>215</v>
      </c>
      <c r="F226" s="130"/>
      <c r="G226" s="130"/>
    </row>
    <row r="227" spans="1:7" ht="17.25" customHeight="1">
      <c r="A227" s="303" t="s">
        <v>222</v>
      </c>
      <c r="B227" s="304"/>
      <c r="C227" s="305"/>
      <c r="D227" s="39"/>
      <c r="E227" s="38"/>
      <c r="F227" s="130"/>
      <c r="G227" s="130"/>
    </row>
    <row r="228" spans="1:7" ht="30.75" customHeight="1">
      <c r="A228" s="69">
        <v>205</v>
      </c>
      <c r="B228" s="90">
        <v>17</v>
      </c>
      <c r="C228" s="90" t="s">
        <v>223</v>
      </c>
      <c r="D228" s="69" t="s">
        <v>382</v>
      </c>
      <c r="E228" s="105">
        <v>1056</v>
      </c>
      <c r="F228" s="130"/>
      <c r="G228" s="130"/>
    </row>
    <row r="229" spans="1:7" ht="17.25" customHeight="1">
      <c r="A229" s="39">
        <v>206</v>
      </c>
      <c r="B229" s="104">
        <v>8</v>
      </c>
      <c r="C229" s="104" t="s">
        <v>224</v>
      </c>
      <c r="D229" s="104" t="s">
        <v>383</v>
      </c>
      <c r="E229" s="104">
        <v>643</v>
      </c>
      <c r="F229" s="130"/>
      <c r="G229" s="130"/>
    </row>
    <row r="230" spans="1:7" ht="17.25" customHeight="1">
      <c r="A230" s="39"/>
      <c r="B230" s="194">
        <f>SUM(B228:B229)</f>
        <v>25</v>
      </c>
      <c r="C230" s="194"/>
      <c r="D230" s="194"/>
      <c r="E230" s="194">
        <f>SUM(E228:E229)</f>
        <v>1699</v>
      </c>
      <c r="F230" s="130"/>
      <c r="G230" s="130"/>
    </row>
    <row r="231" spans="1:7" ht="17.25" customHeight="1">
      <c r="A231" s="303" t="s">
        <v>216</v>
      </c>
      <c r="B231" s="304"/>
      <c r="C231" s="305"/>
      <c r="D231" s="39"/>
      <c r="E231" s="38"/>
      <c r="F231" s="130"/>
      <c r="G231" s="130"/>
    </row>
    <row r="232" spans="1:7" ht="17.25" customHeight="1">
      <c r="A232" s="39">
        <v>207</v>
      </c>
      <c r="B232" s="59">
        <v>15</v>
      </c>
      <c r="C232" s="39" t="s">
        <v>223</v>
      </c>
      <c r="D232" s="59" t="s">
        <v>384</v>
      </c>
      <c r="E232" s="39">
        <v>772</v>
      </c>
      <c r="F232" s="130"/>
      <c r="G232" s="130">
        <f>B232+B237</f>
        <v>18</v>
      </c>
    </row>
    <row r="233" spans="1:7" ht="17.25" customHeight="1">
      <c r="A233" s="39">
        <v>208</v>
      </c>
      <c r="B233" s="39">
        <v>2</v>
      </c>
      <c r="C233" s="39" t="s">
        <v>224</v>
      </c>
      <c r="D233" s="39" t="s">
        <v>385</v>
      </c>
      <c r="E233" s="39">
        <v>143</v>
      </c>
      <c r="F233" s="130"/>
      <c r="G233" s="130">
        <f>B233+B238</f>
        <v>5</v>
      </c>
    </row>
    <row r="234" spans="1:7" ht="17.25" customHeight="1">
      <c r="A234" s="39">
        <v>211</v>
      </c>
      <c r="B234" s="39">
        <v>2</v>
      </c>
      <c r="C234" s="195" t="s">
        <v>231</v>
      </c>
      <c r="D234" s="39" t="s">
        <v>386</v>
      </c>
      <c r="E234" s="39">
        <v>248</v>
      </c>
      <c r="F234" s="130"/>
      <c r="G234" s="130"/>
    </row>
    <row r="235" spans="1:7" ht="17.25" customHeight="1">
      <c r="A235" s="39">
        <v>212</v>
      </c>
      <c r="B235" s="39">
        <v>4</v>
      </c>
      <c r="C235" s="195" t="s">
        <v>239</v>
      </c>
      <c r="D235" s="39" t="s">
        <v>387</v>
      </c>
      <c r="E235" s="39">
        <v>800</v>
      </c>
      <c r="F235" s="130"/>
      <c r="G235" s="130"/>
    </row>
    <row r="236" spans="1:7" ht="17.25" customHeight="1">
      <c r="A236" s="39">
        <v>214</v>
      </c>
      <c r="B236" s="39">
        <v>2</v>
      </c>
      <c r="C236" s="195" t="s">
        <v>242</v>
      </c>
      <c r="D236" s="39" t="s">
        <v>388</v>
      </c>
      <c r="E236" s="39">
        <v>585</v>
      </c>
      <c r="F236" s="130"/>
      <c r="G236" s="130"/>
    </row>
    <row r="237" spans="1:7" ht="17.25" customHeight="1">
      <c r="A237" s="39">
        <v>215</v>
      </c>
      <c r="B237" s="39">
        <v>3</v>
      </c>
      <c r="C237" s="39" t="s">
        <v>223</v>
      </c>
      <c r="D237" s="39" t="s">
        <v>394</v>
      </c>
      <c r="E237" s="39">
        <v>162</v>
      </c>
      <c r="F237" s="130"/>
      <c r="G237" s="130"/>
    </row>
    <row r="238" spans="1:7" ht="17.25" customHeight="1">
      <c r="A238" s="39">
        <v>216</v>
      </c>
      <c r="B238" s="39">
        <v>3</v>
      </c>
      <c r="C238" s="39" t="s">
        <v>224</v>
      </c>
      <c r="D238" s="39" t="s">
        <v>395</v>
      </c>
      <c r="E238" s="39">
        <v>200</v>
      </c>
      <c r="F238" s="130"/>
      <c r="G238" s="130"/>
    </row>
    <row r="239" spans="1:7" ht="25.5" customHeight="1">
      <c r="A239" s="39">
        <v>213</v>
      </c>
      <c r="B239" s="39">
        <v>3</v>
      </c>
      <c r="C239" s="195" t="s">
        <v>389</v>
      </c>
      <c r="D239" s="39" t="s">
        <v>390</v>
      </c>
      <c r="E239" s="39">
        <v>580</v>
      </c>
      <c r="F239" s="130"/>
      <c r="G239" s="130"/>
    </row>
    <row r="240" spans="1:7" ht="17.25" customHeight="1">
      <c r="A240" s="39"/>
      <c r="B240" s="194">
        <f>SUM(B232:B239)</f>
        <v>34</v>
      </c>
      <c r="C240" s="194"/>
      <c r="D240" s="194"/>
      <c r="E240" s="194">
        <f>SUM(E232:E239)</f>
        <v>3490</v>
      </c>
      <c r="F240" s="130"/>
      <c r="G240" s="130"/>
    </row>
    <row r="241" spans="1:7" ht="17.25" customHeight="1">
      <c r="A241" s="303" t="s">
        <v>228</v>
      </c>
      <c r="B241" s="304"/>
      <c r="C241" s="305"/>
      <c r="D241" s="194"/>
      <c r="E241" s="194"/>
      <c r="F241" s="130"/>
      <c r="G241" s="130"/>
    </row>
    <row r="242" spans="1:7" ht="17.25" customHeight="1">
      <c r="A242" s="39">
        <v>209</v>
      </c>
      <c r="B242" s="59">
        <v>5</v>
      </c>
      <c r="C242" s="59" t="s">
        <v>224</v>
      </c>
      <c r="D242" s="59" t="s">
        <v>392</v>
      </c>
      <c r="E242" s="39">
        <v>281</v>
      </c>
      <c r="F242" s="130"/>
      <c r="G242" s="130"/>
    </row>
    <row r="243" spans="1:7" ht="17.25" customHeight="1">
      <c r="A243" s="39"/>
      <c r="B243" s="194">
        <f>B242</f>
        <v>5</v>
      </c>
      <c r="C243" s="194"/>
      <c r="D243" s="194"/>
      <c r="E243" s="194">
        <f>E242</f>
        <v>281</v>
      </c>
      <c r="F243" s="130"/>
      <c r="G243" s="130"/>
    </row>
    <row r="244" spans="1:7" ht="17.25" customHeight="1">
      <c r="A244" s="303" t="s">
        <v>229</v>
      </c>
      <c r="B244" s="304"/>
      <c r="C244" s="305"/>
      <c r="D244" s="194"/>
      <c r="E244" s="194"/>
      <c r="F244" s="130"/>
      <c r="G244" s="130"/>
    </row>
    <row r="245" spans="1:7" ht="17.25" customHeight="1">
      <c r="A245" s="39">
        <v>210</v>
      </c>
      <c r="B245" s="39">
        <v>1</v>
      </c>
      <c r="C245" s="39" t="s">
        <v>224</v>
      </c>
      <c r="D245" s="39" t="s">
        <v>391</v>
      </c>
      <c r="E245" s="39">
        <v>56</v>
      </c>
      <c r="F245" s="130"/>
      <c r="G245" s="130"/>
    </row>
    <row r="246" spans="1:7" ht="17.25" customHeight="1">
      <c r="A246" s="39"/>
      <c r="B246" s="194">
        <f>B245</f>
        <v>1</v>
      </c>
      <c r="C246" s="194"/>
      <c r="D246" s="194"/>
      <c r="E246" s="194">
        <f>E245</f>
        <v>56</v>
      </c>
      <c r="F246" s="130"/>
      <c r="G246" s="130"/>
    </row>
    <row r="247" spans="1:7" ht="17.25" customHeight="1">
      <c r="A247" s="194" t="s">
        <v>14</v>
      </c>
      <c r="B247" s="124">
        <f>B230+B240+B246+B243</f>
        <v>65</v>
      </c>
      <c r="C247" s="124"/>
      <c r="D247" s="124"/>
      <c r="E247" s="124">
        <f>E230+E240+E246+E243</f>
        <v>5526</v>
      </c>
      <c r="F247" s="130"/>
      <c r="G247" s="130"/>
    </row>
    <row r="248" spans="1:7" ht="17.25" customHeight="1">
      <c r="A248" s="197"/>
      <c r="B248" s="125"/>
      <c r="C248" s="126"/>
      <c r="D248" s="124"/>
      <c r="E248" s="124"/>
      <c r="F248" s="130"/>
      <c r="G248" s="130"/>
    </row>
    <row r="249" spans="1:7" ht="28.5" customHeight="1">
      <c r="A249" s="301" t="s">
        <v>595</v>
      </c>
      <c r="B249" s="302"/>
      <c r="C249" s="302"/>
      <c r="D249" s="302"/>
      <c r="E249" s="302"/>
      <c r="F249" s="130"/>
      <c r="G249" s="130"/>
    </row>
    <row r="250" spans="1:7" ht="24" customHeight="1">
      <c r="A250" s="39" t="s">
        <v>211</v>
      </c>
      <c r="B250" s="39" t="s">
        <v>212</v>
      </c>
      <c r="C250" s="39" t="s">
        <v>213</v>
      </c>
      <c r="D250" s="39" t="s">
        <v>214</v>
      </c>
      <c r="E250" s="38" t="s">
        <v>215</v>
      </c>
      <c r="F250" s="130"/>
      <c r="G250" s="130"/>
    </row>
    <row r="251" spans="1:7" ht="17.25" customHeight="1">
      <c r="A251" s="303" t="s">
        <v>222</v>
      </c>
      <c r="B251" s="304"/>
      <c r="C251" s="305"/>
      <c r="D251" s="39"/>
      <c r="E251" s="38"/>
      <c r="F251" s="130"/>
      <c r="G251" s="130"/>
    </row>
    <row r="252" spans="1:7" ht="17.25" customHeight="1">
      <c r="A252" s="59">
        <v>23108</v>
      </c>
      <c r="B252" s="59">
        <v>4</v>
      </c>
      <c r="C252" s="39" t="s">
        <v>224</v>
      </c>
      <c r="D252" s="39" t="s">
        <v>399</v>
      </c>
      <c r="E252" s="59">
        <v>334</v>
      </c>
      <c r="F252" s="130"/>
      <c r="G252" s="130"/>
    </row>
    <row r="253" spans="1:7" ht="17.25" customHeight="1">
      <c r="A253" s="39"/>
      <c r="B253" s="194">
        <f>SUM(B252:B252)</f>
        <v>4</v>
      </c>
      <c r="C253" s="194"/>
      <c r="D253" s="194"/>
      <c r="E253" s="194">
        <f>SUM(E252:E252)</f>
        <v>334</v>
      </c>
      <c r="F253" s="130"/>
      <c r="G253" s="130"/>
    </row>
    <row r="254" spans="1:7" ht="17.25" customHeight="1">
      <c r="A254" s="303" t="s">
        <v>216</v>
      </c>
      <c r="B254" s="304"/>
      <c r="C254" s="305"/>
      <c r="D254" s="39"/>
      <c r="E254" s="38"/>
      <c r="F254" s="130"/>
      <c r="G254" s="130"/>
    </row>
    <row r="255" spans="1:7" ht="17.25" customHeight="1">
      <c r="A255" s="59">
        <v>23110</v>
      </c>
      <c r="B255" s="59">
        <v>2</v>
      </c>
      <c r="C255" s="59" t="s">
        <v>223</v>
      </c>
      <c r="D255" s="59" t="s">
        <v>401</v>
      </c>
      <c r="E255" s="59">
        <v>108</v>
      </c>
      <c r="F255" s="130"/>
      <c r="G255" s="130"/>
    </row>
    <row r="256" spans="1:7" ht="17.25" customHeight="1">
      <c r="A256" s="39">
        <v>23111</v>
      </c>
      <c r="B256" s="39">
        <v>3</v>
      </c>
      <c r="C256" s="179" t="s">
        <v>239</v>
      </c>
      <c r="D256" s="39" t="s">
        <v>402</v>
      </c>
      <c r="E256" s="39">
        <v>590</v>
      </c>
      <c r="F256" s="130"/>
      <c r="G256" s="130"/>
    </row>
    <row r="257" spans="1:7" ht="17.25" customHeight="1">
      <c r="A257" s="39">
        <v>23112</v>
      </c>
      <c r="B257" s="39">
        <v>1</v>
      </c>
      <c r="C257" s="195" t="s">
        <v>242</v>
      </c>
      <c r="D257" s="39" t="s">
        <v>282</v>
      </c>
      <c r="E257" s="39">
        <v>290</v>
      </c>
      <c r="F257" s="130"/>
      <c r="G257" s="130"/>
    </row>
    <row r="258" spans="1:7" ht="17.25" customHeight="1">
      <c r="A258" s="39">
        <v>23113</v>
      </c>
      <c r="B258" s="39">
        <v>1</v>
      </c>
      <c r="C258" s="195" t="s">
        <v>403</v>
      </c>
      <c r="D258" s="39" t="s">
        <v>404</v>
      </c>
      <c r="E258" s="39">
        <v>430</v>
      </c>
      <c r="F258" s="130"/>
      <c r="G258" s="130"/>
    </row>
    <row r="259" spans="1:7" ht="17.25" customHeight="1">
      <c r="A259" s="39"/>
      <c r="B259" s="194">
        <f>SUM(B255:B258)</f>
        <v>7</v>
      </c>
      <c r="C259" s="194"/>
      <c r="D259" s="194"/>
      <c r="E259" s="194">
        <f>SUM(E255:E258)</f>
        <v>1418</v>
      </c>
      <c r="F259" s="130"/>
      <c r="G259" s="130"/>
    </row>
    <row r="260" spans="1:7" ht="17.25" customHeight="1">
      <c r="A260" s="194" t="s">
        <v>14</v>
      </c>
      <c r="B260" s="124">
        <f>B253+B259</f>
        <v>11</v>
      </c>
      <c r="C260" s="124"/>
      <c r="D260" s="124"/>
      <c r="E260" s="124">
        <f>E253+E259</f>
        <v>1752</v>
      </c>
      <c r="F260" s="130"/>
      <c r="G260" s="130"/>
    </row>
    <row r="261" spans="1:7" ht="17.25" customHeight="1">
      <c r="A261" s="197"/>
      <c r="B261" s="125"/>
      <c r="C261" s="126"/>
      <c r="D261" s="124"/>
      <c r="E261" s="124"/>
      <c r="F261" s="130"/>
      <c r="G261" s="130"/>
    </row>
    <row r="262" spans="1:7" ht="26.25" customHeight="1">
      <c r="A262" s="301" t="s">
        <v>596</v>
      </c>
      <c r="B262" s="302"/>
      <c r="C262" s="302"/>
      <c r="D262" s="302"/>
      <c r="E262" s="302"/>
      <c r="F262" s="130"/>
      <c r="G262" s="130"/>
    </row>
    <row r="263" spans="1:7" ht="25.5" customHeight="1">
      <c r="A263" s="39" t="s">
        <v>211</v>
      </c>
      <c r="B263" s="39" t="s">
        <v>212</v>
      </c>
      <c r="C263" s="39" t="s">
        <v>213</v>
      </c>
      <c r="D263" s="39" t="s">
        <v>214</v>
      </c>
      <c r="E263" s="38" t="s">
        <v>215</v>
      </c>
      <c r="F263" s="130"/>
      <c r="G263" s="130"/>
    </row>
    <row r="264" spans="1:7" ht="17.25" customHeight="1">
      <c r="A264" s="303" t="s">
        <v>222</v>
      </c>
      <c r="B264" s="304"/>
      <c r="C264" s="305"/>
      <c r="D264" s="39"/>
      <c r="E264" s="38"/>
      <c r="F264" s="130"/>
      <c r="G264" s="130"/>
    </row>
    <row r="265" spans="1:7" ht="17.25" customHeight="1">
      <c r="A265" s="59">
        <v>23109</v>
      </c>
      <c r="B265" s="59">
        <v>8</v>
      </c>
      <c r="C265" s="39" t="s">
        <v>227</v>
      </c>
      <c r="D265" s="39" t="s">
        <v>400</v>
      </c>
      <c r="E265" s="59">
        <v>894</v>
      </c>
      <c r="F265" s="130"/>
      <c r="G265" s="130"/>
    </row>
    <row r="266" spans="1:7" ht="17.25" customHeight="1">
      <c r="A266" s="39"/>
      <c r="B266" s="194">
        <f>SUM(B265:B265)</f>
        <v>8</v>
      </c>
      <c r="C266" s="194"/>
      <c r="D266" s="194"/>
      <c r="E266" s="194">
        <f>SUM(E265:E265)</f>
        <v>894</v>
      </c>
      <c r="F266" s="130"/>
      <c r="G266" s="130"/>
    </row>
    <row r="267" spans="1:7" ht="17.25" customHeight="1">
      <c r="A267" s="303" t="s">
        <v>216</v>
      </c>
      <c r="B267" s="304"/>
      <c r="C267" s="305"/>
      <c r="D267" s="39"/>
      <c r="E267" s="38"/>
      <c r="F267" s="130"/>
      <c r="G267" s="130"/>
    </row>
    <row r="268" spans="1:7" ht="17.25" customHeight="1">
      <c r="A268" s="59">
        <v>23114</v>
      </c>
      <c r="B268" s="59">
        <v>2</v>
      </c>
      <c r="C268" s="39" t="s">
        <v>227</v>
      </c>
      <c r="D268" s="39" t="s">
        <v>405</v>
      </c>
      <c r="E268" s="59">
        <v>147</v>
      </c>
      <c r="F268" s="130"/>
      <c r="G268" s="130"/>
    </row>
    <row r="269" spans="1:7" ht="17.25" customHeight="1">
      <c r="A269" s="59">
        <v>23114</v>
      </c>
      <c r="B269" s="59">
        <v>1</v>
      </c>
      <c r="C269" s="195" t="s">
        <v>231</v>
      </c>
      <c r="D269" s="69" t="s">
        <v>406</v>
      </c>
      <c r="E269" s="39">
        <v>90</v>
      </c>
      <c r="F269" s="130"/>
      <c r="G269" s="130"/>
    </row>
    <row r="270" spans="1:7" ht="17.25" customHeight="1">
      <c r="A270" s="39"/>
      <c r="B270" s="194">
        <f>SUM(B268:B269)</f>
        <v>3</v>
      </c>
      <c r="C270" s="194"/>
      <c r="D270" s="194"/>
      <c r="E270" s="194">
        <f>SUM(E268:E269)</f>
        <v>237</v>
      </c>
      <c r="F270" s="130"/>
      <c r="G270" s="130"/>
    </row>
    <row r="271" spans="1:7" ht="17.25" customHeight="1">
      <c r="A271" s="303" t="s">
        <v>229</v>
      </c>
      <c r="B271" s="304"/>
      <c r="C271" s="305"/>
      <c r="D271" s="194"/>
      <c r="E271" s="197"/>
      <c r="F271" s="130"/>
      <c r="G271" s="130"/>
    </row>
    <row r="272" spans="1:7" ht="17.25" customHeight="1">
      <c r="A272" s="41">
        <v>23139</v>
      </c>
      <c r="B272" s="59">
        <v>10</v>
      </c>
      <c r="C272" s="39" t="s">
        <v>217</v>
      </c>
      <c r="D272" s="69" t="s">
        <v>411</v>
      </c>
      <c r="E272" s="39">
        <v>675</v>
      </c>
      <c r="F272" s="130"/>
      <c r="G272" s="130"/>
    </row>
    <row r="273" spans="1:7" ht="17.25" customHeight="1">
      <c r="A273" s="39"/>
      <c r="B273" s="194">
        <f>B272</f>
        <v>10</v>
      </c>
      <c r="C273" s="194"/>
      <c r="D273" s="194"/>
      <c r="E273" s="194">
        <f>E272</f>
        <v>675</v>
      </c>
      <c r="F273" s="130"/>
      <c r="G273" s="130"/>
    </row>
    <row r="274" spans="1:7" ht="17.25" customHeight="1">
      <c r="A274" s="194" t="s">
        <v>14</v>
      </c>
      <c r="B274" s="124">
        <f>B266+B270+B273</f>
        <v>21</v>
      </c>
      <c r="C274" s="124"/>
      <c r="D274" s="124"/>
      <c r="E274" s="124">
        <f>E266+E270+E273</f>
        <v>1806</v>
      </c>
      <c r="F274" s="130"/>
      <c r="G274" s="130"/>
    </row>
    <row r="275" spans="1:7" ht="17.25" customHeight="1">
      <c r="A275" s="197"/>
      <c r="B275" s="125"/>
      <c r="C275" s="126"/>
      <c r="D275" s="124"/>
      <c r="E275" s="124"/>
      <c r="F275" s="130"/>
      <c r="G275" s="130"/>
    </row>
    <row r="276" spans="1:7" ht="33.75" customHeight="1">
      <c r="A276" s="301" t="s">
        <v>597</v>
      </c>
      <c r="B276" s="302"/>
      <c r="C276" s="302"/>
      <c r="D276" s="302"/>
      <c r="E276" s="302"/>
      <c r="F276" s="130"/>
      <c r="G276" s="130"/>
    </row>
    <row r="277" spans="1:7" ht="23.25" customHeight="1">
      <c r="A277" s="39" t="s">
        <v>211</v>
      </c>
      <c r="B277" s="39" t="s">
        <v>212</v>
      </c>
      <c r="C277" s="39" t="s">
        <v>213</v>
      </c>
      <c r="D277" s="39" t="s">
        <v>214</v>
      </c>
      <c r="E277" s="38" t="s">
        <v>215</v>
      </c>
      <c r="F277" s="130"/>
      <c r="G277" s="130"/>
    </row>
    <row r="278" spans="1:7" ht="17.25" customHeight="1">
      <c r="A278" s="303" t="s">
        <v>222</v>
      </c>
      <c r="B278" s="304"/>
      <c r="C278" s="305"/>
      <c r="D278" s="39"/>
      <c r="E278" s="38"/>
      <c r="F278" s="130"/>
      <c r="G278" s="130"/>
    </row>
    <row r="279" spans="1:7" ht="17.25" customHeight="1">
      <c r="A279" s="69">
        <v>2</v>
      </c>
      <c r="B279" s="90">
        <v>2</v>
      </c>
      <c r="C279" s="59" t="s">
        <v>223</v>
      </c>
      <c r="D279" s="177" t="s">
        <v>416</v>
      </c>
      <c r="E279" s="69">
        <v>116</v>
      </c>
      <c r="F279" s="130"/>
      <c r="G279" s="130"/>
    </row>
    <row r="280" spans="1:7" ht="17.25" customHeight="1">
      <c r="A280" s="69">
        <v>3</v>
      </c>
      <c r="B280" s="59">
        <v>8</v>
      </c>
      <c r="C280" s="90" t="s">
        <v>224</v>
      </c>
      <c r="D280" s="59" t="s">
        <v>417</v>
      </c>
      <c r="E280" s="39">
        <v>646</v>
      </c>
      <c r="F280" s="130"/>
      <c r="G280" s="130"/>
    </row>
    <row r="281" spans="1:7" ht="17.25" customHeight="1">
      <c r="A281" s="69">
        <v>4</v>
      </c>
      <c r="B281" s="90">
        <v>12</v>
      </c>
      <c r="C281" s="59" t="s">
        <v>227</v>
      </c>
      <c r="D281" s="69" t="s">
        <v>418</v>
      </c>
      <c r="E281" s="69">
        <v>1335</v>
      </c>
      <c r="F281" s="130"/>
      <c r="G281" s="130"/>
    </row>
    <row r="282" spans="1:7" ht="17.25" customHeight="1">
      <c r="A282" s="69">
        <v>5</v>
      </c>
      <c r="B282" s="39">
        <v>2</v>
      </c>
      <c r="C282" s="195" t="s">
        <v>424</v>
      </c>
      <c r="D282" s="104" t="s">
        <v>419</v>
      </c>
      <c r="E282" s="176">
        <v>1300</v>
      </c>
      <c r="F282" s="130"/>
      <c r="G282" s="130"/>
    </row>
    <row r="283" spans="1:7" ht="17.25" customHeight="1">
      <c r="A283" s="69">
        <v>6</v>
      </c>
      <c r="B283" s="103">
        <v>2</v>
      </c>
      <c r="C283" s="107" t="s">
        <v>425</v>
      </c>
      <c r="D283" s="103" t="s">
        <v>420</v>
      </c>
      <c r="E283" s="103">
        <v>2000</v>
      </c>
      <c r="F283" s="130"/>
      <c r="G283" s="130"/>
    </row>
    <row r="284" spans="1:7" ht="17.25" customHeight="1">
      <c r="A284" s="39"/>
      <c r="B284" s="194">
        <f>SUM(B279:B283)</f>
        <v>26</v>
      </c>
      <c r="C284" s="194"/>
      <c r="D284" s="194"/>
      <c r="E284" s="194">
        <f>SUM(E279:E283)</f>
        <v>5397</v>
      </c>
      <c r="F284" s="130"/>
      <c r="G284" s="130"/>
    </row>
    <row r="285" spans="1:7" ht="17.25" customHeight="1">
      <c r="A285" s="303" t="s">
        <v>216</v>
      </c>
      <c r="B285" s="304"/>
      <c r="C285" s="305"/>
      <c r="D285" s="39"/>
      <c r="E285" s="38"/>
      <c r="F285" s="130"/>
      <c r="G285" s="130"/>
    </row>
    <row r="286" spans="1:7" ht="17.25" customHeight="1">
      <c r="A286" s="69">
        <v>7</v>
      </c>
      <c r="B286" s="59">
        <v>3</v>
      </c>
      <c r="C286" s="39" t="s">
        <v>223</v>
      </c>
      <c r="D286" s="69" t="s">
        <v>421</v>
      </c>
      <c r="E286" s="39">
        <v>150</v>
      </c>
      <c r="F286" s="130"/>
      <c r="G286" s="130"/>
    </row>
    <row r="287" spans="1:7" ht="17.25" customHeight="1">
      <c r="A287" s="39">
        <v>8</v>
      </c>
      <c r="B287" s="59">
        <v>11</v>
      </c>
      <c r="C287" s="131" t="s">
        <v>231</v>
      </c>
      <c r="D287" s="176" t="s">
        <v>507</v>
      </c>
      <c r="E287" s="39">
        <v>1229</v>
      </c>
      <c r="F287" s="130"/>
      <c r="G287" s="130"/>
    </row>
    <row r="288" spans="1:7" ht="17.25" customHeight="1">
      <c r="A288" s="39">
        <v>9</v>
      </c>
      <c r="B288" s="39">
        <v>6</v>
      </c>
      <c r="C288" s="131" t="s">
        <v>239</v>
      </c>
      <c r="D288" s="176" t="s">
        <v>508</v>
      </c>
      <c r="E288" s="39">
        <v>1229</v>
      </c>
      <c r="F288" s="130"/>
      <c r="G288" s="130"/>
    </row>
    <row r="289" spans="1:7" ht="17.25" customHeight="1">
      <c r="A289" s="136">
        <v>10</v>
      </c>
      <c r="B289" s="103">
        <v>9</v>
      </c>
      <c r="C289" s="107" t="s">
        <v>242</v>
      </c>
      <c r="D289" s="103" t="s">
        <v>423</v>
      </c>
      <c r="E289" s="103">
        <v>2357</v>
      </c>
      <c r="F289" s="130"/>
      <c r="G289" s="130"/>
    </row>
    <row r="290" spans="1:7" ht="17.25" customHeight="1">
      <c r="A290" s="39"/>
      <c r="B290" s="194">
        <f>SUM(B286:B289)</f>
        <v>29</v>
      </c>
      <c r="C290" s="194"/>
      <c r="D290" s="194"/>
      <c r="E290" s="194">
        <f>SUM(E286:E289)</f>
        <v>4965</v>
      </c>
      <c r="F290" s="130"/>
      <c r="G290" s="130"/>
    </row>
    <row r="291" spans="1:7" ht="17.25" customHeight="1">
      <c r="A291" s="303" t="s">
        <v>228</v>
      </c>
      <c r="B291" s="304"/>
      <c r="C291" s="305"/>
      <c r="D291" s="194"/>
      <c r="E291" s="197"/>
      <c r="F291" s="130"/>
      <c r="G291" s="130"/>
    </row>
    <row r="292" spans="1:7" ht="17.25" customHeight="1">
      <c r="A292" s="69">
        <v>1</v>
      </c>
      <c r="B292" s="90">
        <v>3</v>
      </c>
      <c r="C292" s="90" t="s">
        <v>224</v>
      </c>
      <c r="D292" s="69" t="s">
        <v>422</v>
      </c>
      <c r="E292" s="69">
        <v>186</v>
      </c>
      <c r="F292" s="130"/>
      <c r="G292" s="130"/>
    </row>
    <row r="293" spans="1:7" ht="17.25" customHeight="1">
      <c r="A293" s="39"/>
      <c r="B293" s="194">
        <f>B292</f>
        <v>3</v>
      </c>
      <c r="C293" s="194"/>
      <c r="D293" s="194"/>
      <c r="E293" s="194">
        <f>E292</f>
        <v>186</v>
      </c>
      <c r="F293" s="130"/>
      <c r="G293" s="130"/>
    </row>
    <row r="294" spans="1:7" ht="17.25" customHeight="1">
      <c r="A294" s="194" t="s">
        <v>14</v>
      </c>
      <c r="B294" s="124">
        <f>B284+B290+B293</f>
        <v>58</v>
      </c>
      <c r="C294" s="124"/>
      <c r="D294" s="124"/>
      <c r="E294" s="124">
        <f>E284+E290+E293</f>
        <v>10548</v>
      </c>
      <c r="F294" s="124"/>
      <c r="G294" s="124"/>
    </row>
    <row r="295" spans="1:7" ht="17.25" customHeight="1">
      <c r="A295" s="197"/>
      <c r="B295" s="125"/>
      <c r="C295" s="126"/>
      <c r="D295" s="124"/>
      <c r="E295" s="124"/>
      <c r="F295" s="130"/>
      <c r="G295" s="130"/>
    </row>
    <row r="296" spans="1:7" ht="31.5" customHeight="1">
      <c r="A296" s="301" t="s">
        <v>598</v>
      </c>
      <c r="B296" s="302"/>
      <c r="C296" s="302"/>
      <c r="D296" s="302"/>
      <c r="E296" s="302"/>
      <c r="F296" s="130"/>
      <c r="G296" s="130"/>
    </row>
    <row r="297" spans="1:7" ht="24" customHeight="1">
      <c r="A297" s="39" t="s">
        <v>211</v>
      </c>
      <c r="B297" s="39" t="s">
        <v>212</v>
      </c>
      <c r="C297" s="39" t="s">
        <v>213</v>
      </c>
      <c r="D297" s="39" t="s">
        <v>214</v>
      </c>
      <c r="E297" s="38" t="s">
        <v>215</v>
      </c>
      <c r="F297" s="130"/>
      <c r="G297" s="130"/>
    </row>
    <row r="298" spans="1:7" ht="17.25" customHeight="1">
      <c r="A298" s="303" t="s">
        <v>222</v>
      </c>
      <c r="B298" s="304"/>
      <c r="C298" s="305"/>
      <c r="D298" s="39"/>
      <c r="E298" s="38"/>
      <c r="F298" s="130"/>
      <c r="G298" s="130"/>
    </row>
    <row r="299" spans="1:7" ht="17.25" customHeight="1">
      <c r="A299" s="180" t="s">
        <v>426</v>
      </c>
      <c r="B299" s="181">
        <v>1</v>
      </c>
      <c r="C299" s="104" t="s">
        <v>224</v>
      </c>
      <c r="D299" s="181" t="s">
        <v>427</v>
      </c>
      <c r="E299" s="181">
        <v>85</v>
      </c>
      <c r="F299" s="130"/>
      <c r="G299" s="130"/>
    </row>
    <row r="300" spans="1:7" ht="17.25" customHeight="1">
      <c r="A300" s="104" t="s">
        <v>428</v>
      </c>
      <c r="B300" s="104">
        <v>2</v>
      </c>
      <c r="C300" s="104" t="s">
        <v>227</v>
      </c>
      <c r="D300" s="182" t="s">
        <v>429</v>
      </c>
      <c r="E300" s="104">
        <v>244</v>
      </c>
      <c r="F300" s="130"/>
      <c r="G300" s="130"/>
    </row>
    <row r="301" spans="1:7" ht="17.25" customHeight="1">
      <c r="A301" s="39"/>
      <c r="B301" s="194">
        <f>SUM(B299:B300)</f>
        <v>3</v>
      </c>
      <c r="C301" s="194"/>
      <c r="D301" s="194"/>
      <c r="E301" s="194">
        <f>SUM(E299:E300)</f>
        <v>329</v>
      </c>
      <c r="F301" s="130"/>
      <c r="G301" s="130"/>
    </row>
    <row r="302" spans="1:7" ht="17.25" customHeight="1">
      <c r="A302" s="303" t="s">
        <v>216</v>
      </c>
      <c r="B302" s="304"/>
      <c r="C302" s="305"/>
      <c r="D302" s="39"/>
      <c r="E302" s="38"/>
      <c r="F302" s="130"/>
      <c r="G302" s="130"/>
    </row>
    <row r="303" spans="1:7" ht="17.25" customHeight="1">
      <c r="A303" s="108" t="s">
        <v>430</v>
      </c>
      <c r="B303" s="59">
        <v>2</v>
      </c>
      <c r="C303" s="131" t="s">
        <v>231</v>
      </c>
      <c r="D303" s="69" t="s">
        <v>431</v>
      </c>
      <c r="E303" s="39">
        <v>234</v>
      </c>
      <c r="F303" s="130"/>
      <c r="G303" s="130"/>
    </row>
    <row r="304" spans="1:7" ht="17.25" customHeight="1">
      <c r="A304" s="108" t="s">
        <v>430</v>
      </c>
      <c r="B304" s="39">
        <v>2</v>
      </c>
      <c r="C304" s="195" t="s">
        <v>239</v>
      </c>
      <c r="D304" s="39" t="s">
        <v>432</v>
      </c>
      <c r="E304" s="39">
        <v>420</v>
      </c>
      <c r="F304" s="130"/>
      <c r="G304" s="130"/>
    </row>
    <row r="305" spans="1:7" ht="17.25" customHeight="1">
      <c r="A305" s="108" t="s">
        <v>430</v>
      </c>
      <c r="B305" s="39">
        <v>2</v>
      </c>
      <c r="C305" s="195" t="s">
        <v>433</v>
      </c>
      <c r="D305" s="39" t="s">
        <v>434</v>
      </c>
      <c r="E305" s="39">
        <v>555</v>
      </c>
      <c r="F305" s="130"/>
      <c r="G305" s="130"/>
    </row>
    <row r="306" spans="1:7" ht="17.25" customHeight="1">
      <c r="A306" s="183" t="s">
        <v>435</v>
      </c>
      <c r="B306" s="90">
        <v>2</v>
      </c>
      <c r="C306" s="69" t="s">
        <v>227</v>
      </c>
      <c r="D306" s="69" t="s">
        <v>436</v>
      </c>
      <c r="E306" s="69">
        <v>165</v>
      </c>
      <c r="F306" s="130"/>
      <c r="G306" s="130"/>
    </row>
    <row r="307" spans="1:7" ht="17.25" customHeight="1">
      <c r="A307" s="39"/>
      <c r="B307" s="194">
        <f>SUM(B303:B306)</f>
        <v>8</v>
      </c>
      <c r="C307" s="194"/>
      <c r="D307" s="194"/>
      <c r="E307" s="194">
        <f>SUM(E303:E306)</f>
        <v>1374</v>
      </c>
      <c r="F307" s="130"/>
      <c r="G307" s="130"/>
    </row>
    <row r="308" spans="1:7" ht="17.25" customHeight="1">
      <c r="A308" s="194" t="s">
        <v>14</v>
      </c>
      <c r="B308" s="124">
        <f>B301+B307</f>
        <v>11</v>
      </c>
      <c r="C308" s="124"/>
      <c r="D308" s="124"/>
      <c r="E308" s="124">
        <f>E301+E307</f>
        <v>1703</v>
      </c>
      <c r="F308" s="124"/>
      <c r="G308" s="124"/>
    </row>
    <row r="309" spans="1:7" ht="17.25" customHeight="1">
      <c r="A309" s="197"/>
      <c r="B309" s="125"/>
      <c r="C309" s="126"/>
      <c r="D309" s="124"/>
      <c r="E309" s="124"/>
      <c r="F309" s="188"/>
      <c r="G309" s="188"/>
    </row>
    <row r="310" spans="1:7" ht="27.75" customHeight="1">
      <c r="A310" s="301" t="s">
        <v>599</v>
      </c>
      <c r="B310" s="302"/>
      <c r="C310" s="302"/>
      <c r="D310" s="302"/>
      <c r="E310" s="302"/>
      <c r="F310" s="188"/>
      <c r="G310" s="188"/>
    </row>
    <row r="311" spans="1:7" ht="26.25" customHeight="1">
      <c r="A311" s="39" t="s">
        <v>211</v>
      </c>
      <c r="B311" s="39" t="s">
        <v>212</v>
      </c>
      <c r="C311" s="39" t="s">
        <v>213</v>
      </c>
      <c r="D311" s="39" t="s">
        <v>214</v>
      </c>
      <c r="E311" s="38" t="s">
        <v>215</v>
      </c>
      <c r="F311" s="188"/>
      <c r="G311" s="188"/>
    </row>
    <row r="312" spans="1:7" ht="17.25" customHeight="1">
      <c r="A312" s="303" t="s">
        <v>222</v>
      </c>
      <c r="B312" s="304"/>
      <c r="C312" s="305"/>
      <c r="D312" s="39"/>
      <c r="E312" s="38"/>
      <c r="F312" s="188"/>
      <c r="G312" s="188"/>
    </row>
    <row r="313" spans="1:7" ht="17.25" customHeight="1">
      <c r="A313" s="90">
        <v>1294</v>
      </c>
      <c r="B313" s="90">
        <v>2</v>
      </c>
      <c r="C313" s="90" t="s">
        <v>223</v>
      </c>
      <c r="D313" s="69" t="s">
        <v>447</v>
      </c>
      <c r="E313" s="90">
        <v>110</v>
      </c>
      <c r="F313" s="188"/>
      <c r="G313" s="188"/>
    </row>
    <row r="314" spans="1:7" ht="30" customHeight="1">
      <c r="A314" s="69">
        <v>1295</v>
      </c>
      <c r="B314" s="90">
        <v>18</v>
      </c>
      <c r="C314" s="90" t="s">
        <v>449</v>
      </c>
      <c r="D314" s="69" t="s">
        <v>448</v>
      </c>
      <c r="E314" s="69">
        <v>1398</v>
      </c>
      <c r="F314" s="188"/>
      <c r="G314" s="188"/>
    </row>
    <row r="315" spans="1:7" ht="17.25" customHeight="1">
      <c r="A315" s="39"/>
      <c r="B315" s="194">
        <f>SUM(B313:B314)</f>
        <v>20</v>
      </c>
      <c r="C315" s="194"/>
      <c r="D315" s="194"/>
      <c r="E315" s="194">
        <f>SUM(E313:E314)</f>
        <v>1508</v>
      </c>
      <c r="F315" s="188"/>
      <c r="G315" s="188"/>
    </row>
    <row r="316" spans="1:7" ht="17.25" customHeight="1">
      <c r="A316" s="303" t="s">
        <v>216</v>
      </c>
      <c r="B316" s="304"/>
      <c r="C316" s="305"/>
      <c r="D316" s="39"/>
      <c r="E316" s="38"/>
      <c r="F316" s="188"/>
      <c r="G316" s="188"/>
    </row>
    <row r="317" spans="1:7" ht="31.5" customHeight="1">
      <c r="A317" s="135">
        <v>1298</v>
      </c>
      <c r="B317" s="59">
        <v>28</v>
      </c>
      <c r="C317" s="195" t="s">
        <v>450</v>
      </c>
      <c r="D317" s="39" t="s">
        <v>452</v>
      </c>
      <c r="E317" s="103">
        <v>8400</v>
      </c>
      <c r="F317" s="188"/>
      <c r="G317" s="188"/>
    </row>
    <row r="318" spans="1:7" ht="17.25" customHeight="1">
      <c r="A318" s="134">
        <v>1299</v>
      </c>
      <c r="B318" s="90">
        <v>7</v>
      </c>
      <c r="C318" s="195" t="s">
        <v>451</v>
      </c>
      <c r="D318" s="39" t="s">
        <v>453</v>
      </c>
      <c r="E318" s="103">
        <v>3500</v>
      </c>
      <c r="F318" s="188"/>
      <c r="G318" s="188"/>
    </row>
    <row r="319" spans="1:7" ht="30.75" customHeight="1">
      <c r="A319" s="134">
        <v>1300</v>
      </c>
      <c r="B319" s="90">
        <v>9</v>
      </c>
      <c r="C319" s="222" t="s">
        <v>231</v>
      </c>
      <c r="D319" s="39" t="s">
        <v>454</v>
      </c>
      <c r="E319" s="103">
        <v>1120</v>
      </c>
      <c r="F319" s="188"/>
      <c r="G319" s="188"/>
    </row>
    <row r="320" spans="1:7" ht="27" customHeight="1">
      <c r="A320" s="134">
        <v>1301</v>
      </c>
      <c r="B320" s="90">
        <v>6</v>
      </c>
      <c r="C320" s="222" t="s">
        <v>239</v>
      </c>
      <c r="D320" s="39" t="s">
        <v>455</v>
      </c>
      <c r="E320" s="103">
        <v>1280</v>
      </c>
      <c r="F320" s="188"/>
      <c r="G320" s="188"/>
    </row>
    <row r="321" spans="1:7" ht="30" customHeight="1">
      <c r="A321" s="134">
        <v>1302</v>
      </c>
      <c r="B321" s="90">
        <v>8</v>
      </c>
      <c r="C321" s="222" t="s">
        <v>242</v>
      </c>
      <c r="D321" s="39" t="s">
        <v>456</v>
      </c>
      <c r="E321" s="103">
        <v>2175</v>
      </c>
      <c r="F321" s="188"/>
      <c r="G321" s="188"/>
    </row>
    <row r="322" spans="1:7" ht="17.25" customHeight="1">
      <c r="A322" s="135">
        <v>1296</v>
      </c>
      <c r="B322" s="59">
        <v>25</v>
      </c>
      <c r="C322" s="39" t="s">
        <v>217</v>
      </c>
      <c r="D322" s="104" t="s">
        <v>225</v>
      </c>
      <c r="E322" s="59">
        <v>1418</v>
      </c>
      <c r="F322" s="188"/>
      <c r="G322" s="188"/>
    </row>
    <row r="323" spans="1:7" ht="17.25" customHeight="1">
      <c r="A323" s="223">
        <v>1297</v>
      </c>
      <c r="B323" s="90">
        <v>11</v>
      </c>
      <c r="C323" s="39" t="s">
        <v>217</v>
      </c>
      <c r="D323" s="104" t="s">
        <v>381</v>
      </c>
      <c r="E323" s="90">
        <v>630</v>
      </c>
      <c r="F323" s="188"/>
      <c r="G323" s="188"/>
    </row>
    <row r="324" spans="1:7" ht="17.25" customHeight="1">
      <c r="A324" s="39"/>
      <c r="B324" s="194">
        <f>SUM(B317:B323)</f>
        <v>94</v>
      </c>
      <c r="C324" s="194"/>
      <c r="D324" s="194"/>
      <c r="E324" s="194">
        <f>SUM(E317:E323)</f>
        <v>18523</v>
      </c>
      <c r="F324" s="188"/>
      <c r="G324" s="188"/>
    </row>
    <row r="325" spans="1:7" ht="17.25" customHeight="1">
      <c r="A325" s="194" t="s">
        <v>14</v>
      </c>
      <c r="B325" s="124">
        <f>B315+B324</f>
        <v>114</v>
      </c>
      <c r="C325" s="124"/>
      <c r="D325" s="124"/>
      <c r="E325" s="124">
        <f>E315+E324</f>
        <v>20031</v>
      </c>
      <c r="F325" s="188"/>
      <c r="G325" s="188"/>
    </row>
    <row r="326" spans="1:7" ht="17.25" customHeight="1">
      <c r="A326" s="197"/>
      <c r="B326" s="125"/>
      <c r="C326" s="126"/>
      <c r="D326" s="124"/>
      <c r="E326" s="124"/>
      <c r="F326" s="188"/>
      <c r="G326" s="188"/>
    </row>
    <row r="327" spans="1:7" ht="28.5" customHeight="1">
      <c r="A327" s="301" t="s">
        <v>600</v>
      </c>
      <c r="B327" s="302"/>
      <c r="C327" s="302"/>
      <c r="D327" s="302"/>
      <c r="E327" s="302"/>
      <c r="F327" s="188"/>
      <c r="G327" s="188"/>
    </row>
    <row r="328" spans="1:7" ht="22.5" customHeight="1">
      <c r="A328" s="39" t="s">
        <v>211</v>
      </c>
      <c r="B328" s="39" t="s">
        <v>212</v>
      </c>
      <c r="C328" s="39" t="s">
        <v>213</v>
      </c>
      <c r="D328" s="39" t="s">
        <v>214</v>
      </c>
      <c r="E328" s="38" t="s">
        <v>215</v>
      </c>
      <c r="F328" s="188"/>
      <c r="G328" s="188"/>
    </row>
    <row r="329" spans="1:7" ht="17.25" customHeight="1">
      <c r="A329" s="303" t="s">
        <v>216</v>
      </c>
      <c r="B329" s="304"/>
      <c r="C329" s="305"/>
      <c r="D329" s="194"/>
      <c r="E329" s="197"/>
      <c r="F329" s="188"/>
      <c r="G329" s="188"/>
    </row>
    <row r="330" spans="1:7" ht="17.25" customHeight="1">
      <c r="A330" s="224">
        <v>116</v>
      </c>
      <c r="B330" s="225">
        <v>8</v>
      </c>
      <c r="C330" s="226" t="s">
        <v>355</v>
      </c>
      <c r="D330" s="227" t="s">
        <v>460</v>
      </c>
      <c r="E330" s="228">
        <v>904</v>
      </c>
      <c r="F330" s="188"/>
      <c r="G330" s="188"/>
    </row>
    <row r="331" spans="1:7" ht="35.25" customHeight="1">
      <c r="A331" s="110">
        <v>117</v>
      </c>
      <c r="B331" s="111">
        <v>23</v>
      </c>
      <c r="C331" s="123" t="s">
        <v>239</v>
      </c>
      <c r="D331" s="116" t="s">
        <v>457</v>
      </c>
      <c r="E331" s="115">
        <v>4905</v>
      </c>
      <c r="F331" s="188"/>
      <c r="G331" s="188"/>
    </row>
    <row r="332" spans="1:7" ht="17.25" customHeight="1">
      <c r="A332" s="110">
        <v>111</v>
      </c>
      <c r="B332" s="111">
        <v>25</v>
      </c>
      <c r="C332" s="112" t="s">
        <v>217</v>
      </c>
      <c r="D332" s="116" t="s">
        <v>225</v>
      </c>
      <c r="E332" s="115">
        <v>1122</v>
      </c>
      <c r="F332" s="188"/>
      <c r="G332" s="188"/>
    </row>
    <row r="333" spans="1:7" ht="17.25" customHeight="1">
      <c r="A333" s="111">
        <v>112</v>
      </c>
      <c r="B333" s="111">
        <v>16</v>
      </c>
      <c r="C333" s="112" t="s">
        <v>217</v>
      </c>
      <c r="D333" s="116" t="s">
        <v>458</v>
      </c>
      <c r="E333" s="112">
        <v>732</v>
      </c>
      <c r="F333" s="188"/>
      <c r="G333" s="188"/>
    </row>
    <row r="334" spans="1:7" ht="17.25" customHeight="1">
      <c r="A334" s="110">
        <v>113</v>
      </c>
      <c r="B334" s="111">
        <v>25</v>
      </c>
      <c r="C334" s="112" t="s">
        <v>217</v>
      </c>
      <c r="D334" s="116" t="s">
        <v>225</v>
      </c>
      <c r="E334" s="103">
        <v>1122</v>
      </c>
      <c r="F334" s="188"/>
      <c r="G334" s="188"/>
    </row>
    <row r="335" spans="1:7" ht="17.25" customHeight="1">
      <c r="A335" s="111">
        <v>114</v>
      </c>
      <c r="B335" s="111">
        <v>25</v>
      </c>
      <c r="C335" s="112" t="s">
        <v>217</v>
      </c>
      <c r="D335" s="116" t="s">
        <v>225</v>
      </c>
      <c r="E335" s="103">
        <v>1132</v>
      </c>
      <c r="F335" s="188"/>
      <c r="G335" s="188"/>
    </row>
    <row r="336" spans="1:7" ht="17.25" customHeight="1">
      <c r="A336" s="111">
        <v>115</v>
      </c>
      <c r="B336" s="111">
        <v>10</v>
      </c>
      <c r="C336" s="112" t="s">
        <v>217</v>
      </c>
      <c r="D336" s="116" t="s">
        <v>459</v>
      </c>
      <c r="E336" s="103">
        <v>449</v>
      </c>
      <c r="F336" s="188"/>
      <c r="G336" s="188"/>
    </row>
    <row r="337" spans="1:7" ht="17.25" customHeight="1">
      <c r="A337" s="189"/>
      <c r="B337" s="190">
        <f>SUM(B330:B336)</f>
        <v>132</v>
      </c>
      <c r="C337" s="190"/>
      <c r="D337" s="190"/>
      <c r="E337" s="190">
        <f>SUM(E330:E336)</f>
        <v>10366</v>
      </c>
      <c r="F337" s="188"/>
      <c r="G337" s="188"/>
    </row>
    <row r="338" spans="1:7" ht="17.25" customHeight="1">
      <c r="A338" s="194" t="s">
        <v>14</v>
      </c>
      <c r="B338" s="124">
        <f>SUM(B330:B336)</f>
        <v>132</v>
      </c>
      <c r="C338" s="124"/>
      <c r="D338" s="124"/>
      <c r="E338" s="124">
        <f>SUM(E330:E336)</f>
        <v>10366</v>
      </c>
      <c r="F338" s="188"/>
      <c r="G338" s="188"/>
    </row>
    <row r="339" spans="1:7" ht="17.25" customHeight="1">
      <c r="A339" s="197"/>
      <c r="B339" s="125"/>
      <c r="C339" s="126"/>
      <c r="D339" s="124"/>
      <c r="E339" s="124"/>
      <c r="F339" s="188"/>
      <c r="G339" s="188"/>
    </row>
    <row r="340" spans="1:7" ht="26.25" customHeight="1">
      <c r="A340" s="301" t="s">
        <v>601</v>
      </c>
      <c r="B340" s="302"/>
      <c r="C340" s="302"/>
      <c r="D340" s="302"/>
      <c r="E340" s="302"/>
      <c r="F340" s="188"/>
      <c r="G340" s="188"/>
    </row>
    <row r="341" spans="1:7" ht="28.5" customHeight="1">
      <c r="A341" s="39" t="s">
        <v>211</v>
      </c>
      <c r="B341" s="39" t="s">
        <v>212</v>
      </c>
      <c r="C341" s="39" t="s">
        <v>213</v>
      </c>
      <c r="D341" s="39" t="s">
        <v>214</v>
      </c>
      <c r="E341" s="38" t="s">
        <v>215</v>
      </c>
      <c r="F341" s="188"/>
      <c r="G341" s="188"/>
    </row>
    <row r="342" spans="1:7" ht="17.25" customHeight="1">
      <c r="A342" s="303" t="s">
        <v>222</v>
      </c>
      <c r="B342" s="304"/>
      <c r="C342" s="305"/>
      <c r="D342" s="39"/>
      <c r="E342" s="38"/>
      <c r="F342" s="188"/>
      <c r="G342" s="188"/>
    </row>
    <row r="343" spans="1:7" ht="17.25" customHeight="1">
      <c r="A343" s="59" t="s">
        <v>461</v>
      </c>
      <c r="B343" s="59">
        <v>11</v>
      </c>
      <c r="C343" s="59" t="s">
        <v>223</v>
      </c>
      <c r="D343" s="104" t="s">
        <v>462</v>
      </c>
      <c r="E343" s="176">
        <v>653.7</v>
      </c>
      <c r="F343" s="188"/>
      <c r="G343" s="188"/>
    </row>
    <row r="344" spans="1:7" ht="17.25" customHeight="1">
      <c r="A344" s="59" t="s">
        <v>463</v>
      </c>
      <c r="B344" s="59">
        <v>3</v>
      </c>
      <c r="C344" s="59" t="s">
        <v>217</v>
      </c>
      <c r="D344" s="104" t="s">
        <v>464</v>
      </c>
      <c r="E344" s="176">
        <v>235.05</v>
      </c>
      <c r="F344" s="188"/>
      <c r="G344" s="188"/>
    </row>
    <row r="345" spans="1:7" ht="17.25" customHeight="1">
      <c r="A345" s="59" t="s">
        <v>465</v>
      </c>
      <c r="B345" s="59">
        <v>1</v>
      </c>
      <c r="C345" s="39" t="s">
        <v>470</v>
      </c>
      <c r="D345" s="104" t="s">
        <v>471</v>
      </c>
      <c r="E345" s="176">
        <v>50</v>
      </c>
      <c r="F345" s="188"/>
      <c r="G345" s="188"/>
    </row>
    <row r="346" spans="1:7" ht="17.25" customHeight="1">
      <c r="A346" s="39"/>
      <c r="B346" s="194">
        <f>SUM(B343:B345)</f>
        <v>15</v>
      </c>
      <c r="C346" s="194"/>
      <c r="D346" s="194"/>
      <c r="E346" s="194">
        <f>SUM(E343:E345)</f>
        <v>938.75</v>
      </c>
      <c r="F346" s="188"/>
      <c r="G346" s="188"/>
    </row>
    <row r="347" spans="1:7" ht="17.25" customHeight="1">
      <c r="A347" s="303" t="s">
        <v>216</v>
      </c>
      <c r="B347" s="304"/>
      <c r="C347" s="305"/>
      <c r="D347" s="39"/>
      <c r="E347" s="38"/>
      <c r="F347" s="188"/>
      <c r="G347" s="188"/>
    </row>
    <row r="348" spans="1:7" ht="17.25" customHeight="1">
      <c r="A348" s="59" t="s">
        <v>466</v>
      </c>
      <c r="B348" s="59">
        <v>5</v>
      </c>
      <c r="C348" s="39" t="s">
        <v>223</v>
      </c>
      <c r="D348" s="104" t="s">
        <v>467</v>
      </c>
      <c r="E348" s="176">
        <v>300</v>
      </c>
      <c r="F348" s="188"/>
      <c r="G348" s="188"/>
    </row>
    <row r="349" spans="1:7" ht="17.25" customHeight="1">
      <c r="A349" s="59" t="s">
        <v>468</v>
      </c>
      <c r="B349" s="59">
        <v>5</v>
      </c>
      <c r="C349" s="39" t="s">
        <v>475</v>
      </c>
      <c r="D349" s="104" t="s">
        <v>473</v>
      </c>
      <c r="E349" s="176">
        <v>304</v>
      </c>
      <c r="F349" s="188"/>
      <c r="G349" s="188"/>
    </row>
    <row r="350" spans="1:7" ht="17.25" customHeight="1">
      <c r="A350" s="59" t="s">
        <v>469</v>
      </c>
      <c r="B350" s="59">
        <v>4</v>
      </c>
      <c r="C350" s="39" t="s">
        <v>472</v>
      </c>
      <c r="D350" s="104" t="s">
        <v>474</v>
      </c>
      <c r="E350" s="176">
        <v>165</v>
      </c>
      <c r="F350" s="188"/>
      <c r="G350" s="188"/>
    </row>
    <row r="351" spans="1:7" ht="17.25" customHeight="1">
      <c r="A351" s="39"/>
      <c r="B351" s="194">
        <f>SUM(B348:B350)</f>
        <v>14</v>
      </c>
      <c r="C351" s="194"/>
      <c r="D351" s="194"/>
      <c r="E351" s="194">
        <f>SUM(E348:E350)</f>
        <v>769</v>
      </c>
      <c r="F351" s="188"/>
      <c r="G351" s="188"/>
    </row>
    <row r="352" spans="1:7" ht="17.25" customHeight="1">
      <c r="A352" s="194" t="s">
        <v>14</v>
      </c>
      <c r="B352" s="124">
        <f>B346+B351</f>
        <v>29</v>
      </c>
      <c r="C352" s="124"/>
      <c r="D352" s="124"/>
      <c r="E352" s="124">
        <f>E346+E351</f>
        <v>1707.75</v>
      </c>
      <c r="F352" s="188"/>
      <c r="G352" s="188"/>
    </row>
    <row r="353" spans="1:7" ht="17.25" customHeight="1">
      <c r="A353" s="197"/>
      <c r="B353" s="125"/>
      <c r="C353" s="126"/>
      <c r="D353" s="124"/>
      <c r="E353" s="124"/>
      <c r="F353" s="188"/>
      <c r="G353" s="188"/>
    </row>
    <row r="354" spans="1:7" ht="26.25" customHeight="1">
      <c r="A354" s="301" t="s">
        <v>602</v>
      </c>
      <c r="B354" s="302"/>
      <c r="C354" s="302"/>
      <c r="D354" s="302"/>
      <c r="E354" s="302"/>
      <c r="F354" s="188"/>
      <c r="G354" s="188"/>
    </row>
    <row r="355" spans="1:7" ht="26.25" customHeight="1">
      <c r="A355" s="39" t="s">
        <v>211</v>
      </c>
      <c r="B355" s="39" t="s">
        <v>212</v>
      </c>
      <c r="C355" s="39" t="s">
        <v>213</v>
      </c>
      <c r="D355" s="39" t="s">
        <v>214</v>
      </c>
      <c r="E355" s="38" t="s">
        <v>215</v>
      </c>
      <c r="F355" s="188"/>
      <c r="G355" s="188"/>
    </row>
    <row r="356" spans="1:7" ht="17.25" customHeight="1">
      <c r="A356" s="303" t="s">
        <v>222</v>
      </c>
      <c r="B356" s="304"/>
      <c r="C356" s="305"/>
      <c r="D356" s="39"/>
      <c r="E356" s="38"/>
      <c r="F356" s="188"/>
      <c r="G356" s="188"/>
    </row>
    <row r="357" spans="1:7" ht="17.25" customHeight="1">
      <c r="A357" s="229">
        <v>581</v>
      </c>
      <c r="B357" s="104">
        <v>1</v>
      </c>
      <c r="C357" s="104" t="s">
        <v>224</v>
      </c>
      <c r="D357" s="104" t="s">
        <v>476</v>
      </c>
      <c r="E357" s="104">
        <v>85</v>
      </c>
      <c r="F357" s="188"/>
      <c r="G357" s="188"/>
    </row>
    <row r="358" spans="1:7" ht="17.25" customHeight="1">
      <c r="A358" s="59">
        <v>583</v>
      </c>
      <c r="B358" s="176">
        <v>2</v>
      </c>
      <c r="C358" s="176" t="s">
        <v>227</v>
      </c>
      <c r="D358" s="104" t="s">
        <v>477</v>
      </c>
      <c r="E358" s="176">
        <v>223</v>
      </c>
      <c r="F358" s="188"/>
      <c r="G358" s="188"/>
    </row>
    <row r="359" spans="1:7" ht="17.25" customHeight="1">
      <c r="A359" s="39"/>
      <c r="B359" s="194">
        <f>SUM(B357:B358)</f>
        <v>3</v>
      </c>
      <c r="C359" s="194"/>
      <c r="D359" s="194"/>
      <c r="E359" s="194">
        <f>SUM(E357:E358)</f>
        <v>308</v>
      </c>
      <c r="F359" s="188"/>
      <c r="G359" s="188"/>
    </row>
    <row r="360" spans="1:7" ht="17.25" customHeight="1">
      <c r="A360" s="303" t="s">
        <v>216</v>
      </c>
      <c r="B360" s="304"/>
      <c r="C360" s="305"/>
      <c r="D360" s="39"/>
      <c r="E360" s="38"/>
      <c r="F360" s="188"/>
      <c r="G360" s="188"/>
    </row>
    <row r="361" spans="1:7" ht="17.25" customHeight="1">
      <c r="A361" s="59">
        <v>590</v>
      </c>
      <c r="B361" s="230">
        <v>3</v>
      </c>
      <c r="C361" s="231" t="s">
        <v>481</v>
      </c>
      <c r="D361" s="176" t="s">
        <v>478</v>
      </c>
      <c r="E361" s="176">
        <v>183</v>
      </c>
      <c r="F361" s="188"/>
      <c r="G361" s="188"/>
    </row>
    <row r="362" spans="1:7" ht="17.25" customHeight="1">
      <c r="A362" s="59">
        <v>584</v>
      </c>
      <c r="B362" s="176">
        <v>2</v>
      </c>
      <c r="C362" s="131" t="s">
        <v>242</v>
      </c>
      <c r="D362" s="104" t="s">
        <v>479</v>
      </c>
      <c r="E362" s="176">
        <v>555</v>
      </c>
      <c r="F362" s="188"/>
      <c r="G362" s="188"/>
    </row>
    <row r="363" spans="1:7" ht="17.25" customHeight="1">
      <c r="A363" s="59">
        <v>585</v>
      </c>
      <c r="B363" s="176">
        <v>10</v>
      </c>
      <c r="C363" s="131" t="s">
        <v>482</v>
      </c>
      <c r="D363" s="104" t="s">
        <v>487</v>
      </c>
      <c r="E363" s="176">
        <v>1500</v>
      </c>
      <c r="F363" s="188"/>
      <c r="G363" s="188"/>
    </row>
    <row r="364" spans="1:7" ht="17.25" customHeight="1">
      <c r="A364" s="59">
        <v>586</v>
      </c>
      <c r="B364" s="176">
        <v>20</v>
      </c>
      <c r="C364" s="131" t="s">
        <v>483</v>
      </c>
      <c r="D364" s="104" t="s">
        <v>488</v>
      </c>
      <c r="E364" s="176">
        <v>2100</v>
      </c>
      <c r="F364" s="188"/>
      <c r="G364" s="188"/>
    </row>
    <row r="365" spans="1:7" ht="17.25" customHeight="1">
      <c r="A365" s="59">
        <v>588</v>
      </c>
      <c r="B365" s="176">
        <v>12</v>
      </c>
      <c r="C365" s="131" t="s">
        <v>484</v>
      </c>
      <c r="D365" s="104" t="s">
        <v>489</v>
      </c>
      <c r="E365" s="176">
        <v>1260</v>
      </c>
      <c r="F365" s="188"/>
      <c r="G365" s="188"/>
    </row>
    <row r="366" spans="1:7" ht="17.25" customHeight="1">
      <c r="A366" s="59">
        <v>589</v>
      </c>
      <c r="B366" s="176">
        <v>4</v>
      </c>
      <c r="C366" s="131" t="s">
        <v>239</v>
      </c>
      <c r="D366" s="104" t="s">
        <v>480</v>
      </c>
      <c r="E366" s="176">
        <v>835</v>
      </c>
      <c r="F366" s="188"/>
      <c r="G366" s="188"/>
    </row>
    <row r="367" spans="1:7" ht="17.25" customHeight="1">
      <c r="A367" s="59">
        <v>579</v>
      </c>
      <c r="B367" s="176">
        <v>20</v>
      </c>
      <c r="C367" s="176" t="s">
        <v>224</v>
      </c>
      <c r="D367" s="176" t="s">
        <v>485</v>
      </c>
      <c r="E367" s="176">
        <v>1200</v>
      </c>
      <c r="F367" s="188"/>
      <c r="G367" s="188"/>
    </row>
    <row r="368" spans="1:7" ht="17.25" customHeight="1">
      <c r="A368" s="59">
        <v>580</v>
      </c>
      <c r="B368" s="176">
        <v>2</v>
      </c>
      <c r="C368" s="176" t="s">
        <v>224</v>
      </c>
      <c r="D368" s="176" t="s">
        <v>294</v>
      </c>
      <c r="E368" s="176">
        <v>120</v>
      </c>
      <c r="F368" s="188"/>
      <c r="G368" s="188"/>
    </row>
    <row r="369" spans="1:7" ht="17.25" customHeight="1">
      <c r="A369" s="39">
        <v>582</v>
      </c>
      <c r="B369" s="176">
        <v>4</v>
      </c>
      <c r="C369" s="231" t="s">
        <v>481</v>
      </c>
      <c r="D369" s="176" t="s">
        <v>486</v>
      </c>
      <c r="E369" s="176">
        <v>180</v>
      </c>
      <c r="F369" s="188"/>
      <c r="G369" s="188"/>
    </row>
    <row r="370" spans="1:7" ht="17.25" customHeight="1">
      <c r="A370" s="59">
        <v>591</v>
      </c>
      <c r="B370" s="176">
        <v>2</v>
      </c>
      <c r="C370" s="176" t="s">
        <v>227</v>
      </c>
      <c r="D370" s="176" t="s">
        <v>294</v>
      </c>
      <c r="E370" s="176">
        <v>158</v>
      </c>
      <c r="F370" s="188"/>
      <c r="G370" s="188"/>
    </row>
    <row r="371" spans="1:7" ht="17.25" customHeight="1">
      <c r="A371" s="39"/>
      <c r="B371" s="194">
        <f>SUM(B361:B370)</f>
        <v>79</v>
      </c>
      <c r="C371" s="194"/>
      <c r="D371" s="194"/>
      <c r="E371" s="194">
        <f>SUM(E361:E370)</f>
        <v>8091</v>
      </c>
      <c r="F371" s="188"/>
      <c r="G371" s="188"/>
    </row>
    <row r="372" spans="1:7" ht="17.25" customHeight="1">
      <c r="A372" s="303" t="s">
        <v>229</v>
      </c>
      <c r="B372" s="304"/>
      <c r="C372" s="305"/>
      <c r="D372" s="194"/>
      <c r="E372" s="194"/>
      <c r="F372" s="188"/>
      <c r="G372" s="188"/>
    </row>
    <row r="373" spans="1:7" ht="17.25" customHeight="1">
      <c r="A373" s="59">
        <v>587</v>
      </c>
      <c r="B373" s="176">
        <v>3</v>
      </c>
      <c r="C373" s="176" t="s">
        <v>224</v>
      </c>
      <c r="D373" s="176" t="s">
        <v>238</v>
      </c>
      <c r="E373" s="176">
        <v>120</v>
      </c>
      <c r="F373" s="188"/>
      <c r="G373" s="188"/>
    </row>
    <row r="374" spans="1:7" ht="17.25" customHeight="1">
      <c r="A374" s="39"/>
      <c r="B374" s="194">
        <f>B373</f>
        <v>3</v>
      </c>
      <c r="C374" s="194"/>
      <c r="D374" s="194"/>
      <c r="E374" s="194">
        <f>E373</f>
        <v>120</v>
      </c>
      <c r="F374" s="188"/>
      <c r="G374" s="188"/>
    </row>
    <row r="375" spans="1:7" ht="17.25" customHeight="1">
      <c r="A375" s="194" t="s">
        <v>14</v>
      </c>
      <c r="B375" s="124">
        <f>B359+B371+B374</f>
        <v>85</v>
      </c>
      <c r="C375" s="124"/>
      <c r="D375" s="124"/>
      <c r="E375" s="124">
        <f>E359+E371+E374</f>
        <v>8519</v>
      </c>
      <c r="F375" s="188"/>
      <c r="G375" s="188"/>
    </row>
    <row r="376" spans="1:7" ht="17.25" customHeight="1">
      <c r="A376" s="197"/>
      <c r="B376" s="125"/>
      <c r="C376" s="126"/>
      <c r="D376" s="124"/>
      <c r="E376" s="124"/>
      <c r="F376" s="188"/>
      <c r="G376" s="188"/>
    </row>
    <row r="377" spans="1:7" ht="29.25" customHeight="1">
      <c r="A377" s="301" t="s">
        <v>603</v>
      </c>
      <c r="B377" s="302"/>
      <c r="C377" s="302"/>
      <c r="D377" s="302"/>
      <c r="E377" s="302"/>
      <c r="F377" s="188"/>
      <c r="G377" s="188"/>
    </row>
    <row r="378" spans="1:7" ht="23.25" customHeight="1">
      <c r="A378" s="39" t="s">
        <v>211</v>
      </c>
      <c r="B378" s="39" t="s">
        <v>212</v>
      </c>
      <c r="C378" s="39" t="s">
        <v>213</v>
      </c>
      <c r="D378" s="39" t="s">
        <v>214</v>
      </c>
      <c r="E378" s="38" t="s">
        <v>215</v>
      </c>
      <c r="F378" s="188"/>
      <c r="G378" s="188"/>
    </row>
    <row r="379" spans="1:7" ht="17.25" customHeight="1">
      <c r="A379" s="303" t="s">
        <v>222</v>
      </c>
      <c r="B379" s="304"/>
      <c r="C379" s="305"/>
      <c r="D379" s="39"/>
      <c r="E379" s="38"/>
      <c r="F379" s="188"/>
      <c r="G379" s="188"/>
    </row>
    <row r="380" spans="1:7" ht="17.25" customHeight="1">
      <c r="A380" s="39">
        <v>909</v>
      </c>
      <c r="B380" s="59">
        <v>8</v>
      </c>
      <c r="C380" s="59" t="s">
        <v>224</v>
      </c>
      <c r="D380" s="39" t="s">
        <v>491</v>
      </c>
      <c r="E380" s="39">
        <v>638</v>
      </c>
      <c r="F380" s="188"/>
      <c r="G380" s="188"/>
    </row>
    <row r="381" spans="1:7" ht="17.25" customHeight="1">
      <c r="A381" s="39">
        <v>910</v>
      </c>
      <c r="B381" s="39">
        <v>5</v>
      </c>
      <c r="C381" s="39" t="s">
        <v>227</v>
      </c>
      <c r="D381" s="39" t="s">
        <v>492</v>
      </c>
      <c r="E381" s="39">
        <v>481</v>
      </c>
      <c r="F381" s="188"/>
      <c r="G381" s="188"/>
    </row>
    <row r="382" spans="1:7" ht="17.25" customHeight="1">
      <c r="A382" s="39"/>
      <c r="B382" s="194">
        <f>SUM(B380:B381)</f>
        <v>13</v>
      </c>
      <c r="C382" s="194"/>
      <c r="D382" s="194"/>
      <c r="E382" s="194">
        <f>SUM(E380:E381)</f>
        <v>1119</v>
      </c>
      <c r="F382" s="188"/>
      <c r="G382" s="188"/>
    </row>
    <row r="383" spans="1:7" ht="17.25" customHeight="1">
      <c r="A383" s="303" t="s">
        <v>216</v>
      </c>
      <c r="B383" s="304"/>
      <c r="C383" s="305"/>
      <c r="D383" s="39"/>
      <c r="E383" s="38"/>
      <c r="F383" s="188"/>
      <c r="G383" s="188"/>
    </row>
    <row r="384" spans="1:7" ht="17.25" customHeight="1">
      <c r="A384" s="39">
        <v>915</v>
      </c>
      <c r="B384" s="59">
        <v>4</v>
      </c>
      <c r="C384" s="131" t="s">
        <v>355</v>
      </c>
      <c r="D384" s="39" t="s">
        <v>493</v>
      </c>
      <c r="E384" s="39">
        <v>419</v>
      </c>
      <c r="F384" s="188"/>
      <c r="G384" s="188"/>
    </row>
    <row r="385" spans="1:7" ht="17.25" customHeight="1">
      <c r="A385" s="39">
        <v>916</v>
      </c>
      <c r="B385" s="59">
        <v>11</v>
      </c>
      <c r="C385" s="131" t="s">
        <v>231</v>
      </c>
      <c r="D385" s="39" t="s">
        <v>494</v>
      </c>
      <c r="E385" s="59">
        <v>1320</v>
      </c>
      <c r="F385" s="188"/>
      <c r="G385" s="188"/>
    </row>
    <row r="386" spans="1:7" ht="17.25" customHeight="1">
      <c r="A386" s="39">
        <v>917</v>
      </c>
      <c r="B386" s="39">
        <v>13</v>
      </c>
      <c r="C386" s="195" t="s">
        <v>239</v>
      </c>
      <c r="D386" s="39" t="s">
        <v>495</v>
      </c>
      <c r="E386" s="59">
        <v>2735</v>
      </c>
      <c r="F386" s="188"/>
      <c r="G386" s="188"/>
    </row>
    <row r="387" spans="1:7" ht="17.25" customHeight="1">
      <c r="A387" s="39">
        <v>918</v>
      </c>
      <c r="B387" s="59">
        <v>6</v>
      </c>
      <c r="C387" s="131" t="s">
        <v>242</v>
      </c>
      <c r="D387" s="69" t="s">
        <v>496</v>
      </c>
      <c r="E387" s="59">
        <v>1455</v>
      </c>
      <c r="F387" s="188"/>
      <c r="G387" s="188"/>
    </row>
    <row r="388" spans="1:7" ht="17.25" customHeight="1">
      <c r="A388" s="39">
        <v>911</v>
      </c>
      <c r="B388" s="59">
        <v>2</v>
      </c>
      <c r="C388" s="59" t="s">
        <v>223</v>
      </c>
      <c r="D388" s="104" t="s">
        <v>294</v>
      </c>
      <c r="E388" s="39">
        <v>106</v>
      </c>
      <c r="F388" s="188"/>
      <c r="G388" s="188"/>
    </row>
    <row r="389" spans="1:7" ht="17.25" customHeight="1">
      <c r="A389" s="39">
        <v>912</v>
      </c>
      <c r="B389" s="39">
        <v>16</v>
      </c>
      <c r="C389" s="39" t="s">
        <v>224</v>
      </c>
      <c r="D389" s="104" t="s">
        <v>506</v>
      </c>
      <c r="E389" s="39">
        <v>862</v>
      </c>
      <c r="F389" s="188"/>
      <c r="G389" s="188"/>
    </row>
    <row r="390" spans="1:7" ht="17.25" customHeight="1">
      <c r="A390" s="39">
        <v>913</v>
      </c>
      <c r="B390" s="39">
        <v>4</v>
      </c>
      <c r="C390" s="39" t="s">
        <v>227</v>
      </c>
      <c r="D390" s="104" t="s">
        <v>486</v>
      </c>
      <c r="E390" s="59">
        <v>332</v>
      </c>
      <c r="F390" s="188"/>
      <c r="G390" s="188"/>
    </row>
    <row r="391" spans="1:7" ht="17.25" customHeight="1">
      <c r="A391" s="39">
        <v>914</v>
      </c>
      <c r="B391" s="59">
        <v>6</v>
      </c>
      <c r="C391" s="131" t="s">
        <v>231</v>
      </c>
      <c r="D391" s="104" t="s">
        <v>497</v>
      </c>
      <c r="E391" s="59">
        <v>637</v>
      </c>
      <c r="F391" s="188"/>
      <c r="G391" s="188"/>
    </row>
    <row r="392" spans="1:7" ht="17.25" customHeight="1">
      <c r="A392" s="39"/>
      <c r="B392" s="194">
        <f>SUM(B384:B391)</f>
        <v>62</v>
      </c>
      <c r="C392" s="194"/>
      <c r="D392" s="194"/>
      <c r="E392" s="194">
        <f>SUM(E384:E391)</f>
        <v>7866</v>
      </c>
      <c r="F392" s="188"/>
      <c r="G392" s="188"/>
    </row>
    <row r="393" spans="1:7" ht="17.25" customHeight="1">
      <c r="A393" s="194" t="s">
        <v>14</v>
      </c>
      <c r="B393" s="124">
        <f>B382+B392</f>
        <v>75</v>
      </c>
      <c r="C393" s="124"/>
      <c r="D393" s="124"/>
      <c r="E393" s="124">
        <f>E382+E392</f>
        <v>8985</v>
      </c>
      <c r="F393" s="188"/>
      <c r="G393" s="188"/>
    </row>
    <row r="394" spans="1:7" ht="17.25" customHeight="1">
      <c r="A394" s="217"/>
      <c r="B394" s="125"/>
      <c r="C394" s="126"/>
      <c r="D394" s="124"/>
      <c r="E394" s="124"/>
      <c r="F394" s="188"/>
      <c r="G394" s="188"/>
    </row>
    <row r="395" spans="1:7" ht="30" customHeight="1">
      <c r="A395" s="301" t="s">
        <v>604</v>
      </c>
      <c r="B395" s="302"/>
      <c r="C395" s="302"/>
      <c r="D395" s="302"/>
      <c r="E395" s="302"/>
      <c r="F395" s="188"/>
      <c r="G395" s="188"/>
    </row>
    <row r="396" spans="1:7" ht="24" customHeight="1">
      <c r="A396" s="39" t="s">
        <v>211</v>
      </c>
      <c r="B396" s="39" t="s">
        <v>212</v>
      </c>
      <c r="C396" s="39" t="s">
        <v>213</v>
      </c>
      <c r="D396" s="39" t="s">
        <v>214</v>
      </c>
      <c r="E396" s="38" t="s">
        <v>215</v>
      </c>
      <c r="F396" s="188"/>
      <c r="G396" s="188"/>
    </row>
    <row r="397" spans="1:7" ht="17.25" customHeight="1">
      <c r="A397" s="303" t="s">
        <v>222</v>
      </c>
      <c r="B397" s="304"/>
      <c r="C397" s="305"/>
      <c r="D397" s="39"/>
      <c r="E397" s="38"/>
      <c r="F397" s="188"/>
      <c r="G397" s="188"/>
    </row>
    <row r="398" spans="1:7" ht="17.25" customHeight="1">
      <c r="A398" s="44">
        <v>437</v>
      </c>
      <c r="B398" s="103">
        <v>14</v>
      </c>
      <c r="C398" s="103" t="s">
        <v>227</v>
      </c>
      <c r="D398" s="103" t="s">
        <v>519</v>
      </c>
      <c r="E398" s="103">
        <v>1605</v>
      </c>
      <c r="F398" s="188"/>
      <c r="G398" s="188"/>
    </row>
    <row r="399" spans="1:7" ht="17.25" customHeight="1">
      <c r="A399" s="44">
        <v>437</v>
      </c>
      <c r="B399" s="103">
        <v>1</v>
      </c>
      <c r="C399" s="103" t="s">
        <v>224</v>
      </c>
      <c r="D399" s="103" t="s">
        <v>515</v>
      </c>
      <c r="E399" s="103">
        <v>87</v>
      </c>
      <c r="F399" s="188"/>
      <c r="G399" s="188"/>
    </row>
    <row r="400" spans="1:7" ht="17.25" customHeight="1">
      <c r="A400" s="39"/>
      <c r="B400" s="216">
        <f>SUM(B398:B399)</f>
        <v>15</v>
      </c>
      <c r="C400" s="216"/>
      <c r="D400" s="216"/>
      <c r="E400" s="216">
        <f>SUM(E398:E399)</f>
        <v>1692</v>
      </c>
      <c r="F400" s="188"/>
      <c r="G400" s="188"/>
    </row>
    <row r="401" spans="1:7" ht="17.25" customHeight="1">
      <c r="A401" s="303" t="s">
        <v>216</v>
      </c>
      <c r="B401" s="304"/>
      <c r="C401" s="305"/>
      <c r="D401" s="39"/>
      <c r="E401" s="38"/>
      <c r="F401" s="188"/>
      <c r="G401" s="188"/>
    </row>
    <row r="402" spans="1:7" ht="17.25" customHeight="1">
      <c r="A402" s="44">
        <v>439</v>
      </c>
      <c r="B402" s="103">
        <v>1</v>
      </c>
      <c r="C402" s="107" t="s">
        <v>231</v>
      </c>
      <c r="D402" s="103" t="s">
        <v>516</v>
      </c>
      <c r="E402" s="103">
        <v>120</v>
      </c>
      <c r="F402" s="188"/>
      <c r="G402" s="188"/>
    </row>
    <row r="403" spans="1:7" ht="17.25" customHeight="1">
      <c r="A403" s="44">
        <v>439</v>
      </c>
      <c r="B403" s="103">
        <v>1</v>
      </c>
      <c r="C403" s="107" t="s">
        <v>239</v>
      </c>
      <c r="D403" s="103" t="s">
        <v>517</v>
      </c>
      <c r="E403" s="103">
        <v>231</v>
      </c>
      <c r="F403" s="188"/>
      <c r="G403" s="188"/>
    </row>
    <row r="404" spans="1:7" ht="17.25" customHeight="1">
      <c r="A404" s="44">
        <v>438</v>
      </c>
      <c r="B404" s="103">
        <v>5</v>
      </c>
      <c r="C404" s="103" t="s">
        <v>227</v>
      </c>
      <c r="D404" s="103" t="s">
        <v>293</v>
      </c>
      <c r="E404" s="234">
        <v>450</v>
      </c>
      <c r="F404" s="188"/>
      <c r="G404" s="188"/>
    </row>
    <row r="405" spans="1:7" ht="17.25" customHeight="1">
      <c r="A405" s="44">
        <v>438</v>
      </c>
      <c r="B405" s="103">
        <v>1</v>
      </c>
      <c r="C405" s="107" t="s">
        <v>231</v>
      </c>
      <c r="D405" s="103" t="s">
        <v>518</v>
      </c>
      <c r="E405" s="234">
        <v>104</v>
      </c>
      <c r="F405" s="188"/>
      <c r="G405" s="188"/>
    </row>
    <row r="406" spans="1:7" ht="17.25" customHeight="1">
      <c r="A406" s="39"/>
      <c r="B406" s="216">
        <f>SUM(B402:B405)</f>
        <v>8</v>
      </c>
      <c r="C406" s="216"/>
      <c r="D406" s="216"/>
      <c r="E406" s="216">
        <f>SUM(E402:E405)</f>
        <v>905</v>
      </c>
      <c r="F406" s="188"/>
      <c r="G406" s="188"/>
    </row>
    <row r="407" spans="1:7" ht="17.25" customHeight="1">
      <c r="A407" s="216" t="s">
        <v>14</v>
      </c>
      <c r="B407" s="124">
        <f>B400+B406</f>
        <v>23</v>
      </c>
      <c r="C407" s="124"/>
      <c r="D407" s="124"/>
      <c r="E407" s="124">
        <f>E400+E406</f>
        <v>2597</v>
      </c>
      <c r="F407" s="188"/>
      <c r="G407" s="188"/>
    </row>
    <row r="408" spans="1:7" ht="17.25" customHeight="1">
      <c r="A408" s="220"/>
      <c r="B408" s="125"/>
      <c r="C408" s="126"/>
      <c r="D408" s="124"/>
      <c r="E408" s="124"/>
      <c r="F408" s="188"/>
      <c r="G408" s="188"/>
    </row>
    <row r="409" spans="1:7" ht="34.5" customHeight="1">
      <c r="A409" s="301" t="s">
        <v>605</v>
      </c>
      <c r="B409" s="302"/>
      <c r="C409" s="302"/>
      <c r="D409" s="302"/>
      <c r="E409" s="302"/>
      <c r="F409" s="188"/>
      <c r="G409" s="188"/>
    </row>
    <row r="410" spans="1:7" ht="24.75" customHeight="1">
      <c r="A410" s="22" t="s">
        <v>211</v>
      </c>
      <c r="B410" s="22" t="s">
        <v>212</v>
      </c>
      <c r="C410" s="22" t="s">
        <v>213</v>
      </c>
      <c r="D410" s="22" t="s">
        <v>214</v>
      </c>
      <c r="E410" s="86" t="s">
        <v>215</v>
      </c>
      <c r="F410" s="188"/>
      <c r="G410" s="188"/>
    </row>
    <row r="411" spans="1:7" ht="17.25" customHeight="1">
      <c r="A411" s="303" t="s">
        <v>216</v>
      </c>
      <c r="B411" s="304"/>
      <c r="C411" s="305"/>
      <c r="D411" s="39"/>
      <c r="E411" s="38"/>
      <c r="F411" s="188"/>
      <c r="G411" s="188"/>
    </row>
    <row r="412" spans="1:7" ht="17.25" customHeight="1">
      <c r="A412" s="59">
        <v>23115</v>
      </c>
      <c r="B412" s="59">
        <v>30</v>
      </c>
      <c r="C412" s="44" t="s">
        <v>224</v>
      </c>
      <c r="D412" s="235" t="s">
        <v>520</v>
      </c>
      <c r="E412" s="44">
        <v>2273</v>
      </c>
      <c r="F412" s="232">
        <f>SUM(B412:B416)</f>
        <v>150</v>
      </c>
      <c r="G412" s="188"/>
    </row>
    <row r="413" spans="1:7" ht="17.25" customHeight="1">
      <c r="A413" s="59">
        <v>23116</v>
      </c>
      <c r="B413" s="59">
        <v>30</v>
      </c>
      <c r="C413" s="44" t="s">
        <v>224</v>
      </c>
      <c r="D413" s="235" t="s">
        <v>521</v>
      </c>
      <c r="E413" s="44">
        <v>2254</v>
      </c>
      <c r="F413" s="232">
        <f>SUM(B417:B423)</f>
        <v>210</v>
      </c>
      <c r="G413" s="188"/>
    </row>
    <row r="414" spans="1:7" ht="17.25" customHeight="1">
      <c r="A414" s="59">
        <v>23117</v>
      </c>
      <c r="B414" s="59">
        <v>30</v>
      </c>
      <c r="C414" s="44" t="s">
        <v>224</v>
      </c>
      <c r="D414" s="235" t="s">
        <v>522</v>
      </c>
      <c r="E414" s="44">
        <v>2265</v>
      </c>
      <c r="F414" s="188"/>
      <c r="G414" s="188"/>
    </row>
    <row r="415" spans="1:7" ht="17.25" customHeight="1">
      <c r="A415" s="59">
        <v>23118</v>
      </c>
      <c r="B415" s="59">
        <v>30</v>
      </c>
      <c r="C415" s="44" t="s">
        <v>224</v>
      </c>
      <c r="D415" s="39" t="s">
        <v>523</v>
      </c>
      <c r="E415" s="39">
        <v>2257</v>
      </c>
      <c r="F415" s="188"/>
      <c r="G415" s="188"/>
    </row>
    <row r="416" spans="1:7" ht="17.25" customHeight="1">
      <c r="A416" s="59">
        <v>23119</v>
      </c>
      <c r="B416" s="59">
        <v>30</v>
      </c>
      <c r="C416" s="44" t="s">
        <v>224</v>
      </c>
      <c r="D416" s="39" t="s">
        <v>524</v>
      </c>
      <c r="E416" s="39">
        <v>2267</v>
      </c>
      <c r="F416" s="188"/>
      <c r="G416" s="188"/>
    </row>
    <row r="417" spans="1:7" ht="17.25" customHeight="1">
      <c r="A417" s="39">
        <v>23125</v>
      </c>
      <c r="B417" s="39">
        <v>30</v>
      </c>
      <c r="C417" s="39" t="s">
        <v>227</v>
      </c>
      <c r="D417" s="39" t="s">
        <v>525</v>
      </c>
      <c r="E417" s="39">
        <v>3018</v>
      </c>
      <c r="F417" s="188"/>
      <c r="G417" s="188"/>
    </row>
    <row r="418" spans="1:7" ht="17.25" customHeight="1">
      <c r="A418" s="39">
        <v>23126</v>
      </c>
      <c r="B418" s="39">
        <v>30</v>
      </c>
      <c r="C418" s="39" t="s">
        <v>227</v>
      </c>
      <c r="D418" s="39" t="s">
        <v>526</v>
      </c>
      <c r="E418" s="39">
        <v>2997</v>
      </c>
      <c r="F418" s="188"/>
      <c r="G418" s="188"/>
    </row>
    <row r="419" spans="1:7" ht="17.25" customHeight="1">
      <c r="A419" s="39">
        <v>23127</v>
      </c>
      <c r="B419" s="39">
        <v>30</v>
      </c>
      <c r="C419" s="39" t="s">
        <v>227</v>
      </c>
      <c r="D419" s="39" t="s">
        <v>527</v>
      </c>
      <c r="E419" s="39">
        <v>2947</v>
      </c>
      <c r="F419" s="188"/>
      <c r="G419" s="188"/>
    </row>
    <row r="420" spans="1:7" ht="17.25" customHeight="1">
      <c r="A420" s="39">
        <v>23128</v>
      </c>
      <c r="B420" s="39">
        <v>30</v>
      </c>
      <c r="C420" s="39" t="s">
        <v>227</v>
      </c>
      <c r="D420" s="39" t="s">
        <v>528</v>
      </c>
      <c r="E420" s="39">
        <v>3035</v>
      </c>
      <c r="F420" s="188"/>
      <c r="G420" s="188"/>
    </row>
    <row r="421" spans="1:7" ht="17.25" customHeight="1">
      <c r="A421" s="39">
        <v>23129</v>
      </c>
      <c r="B421" s="39">
        <v>30</v>
      </c>
      <c r="C421" s="39" t="s">
        <v>227</v>
      </c>
      <c r="D421" s="39" t="s">
        <v>529</v>
      </c>
      <c r="E421" s="39">
        <v>2909</v>
      </c>
      <c r="F421" s="188"/>
      <c r="G421" s="188"/>
    </row>
    <row r="422" spans="1:7" ht="17.25" customHeight="1">
      <c r="A422" s="39">
        <v>23130</v>
      </c>
      <c r="B422" s="39">
        <v>30</v>
      </c>
      <c r="C422" s="39" t="s">
        <v>227</v>
      </c>
      <c r="D422" s="39" t="s">
        <v>530</v>
      </c>
      <c r="E422" s="39">
        <v>2980</v>
      </c>
      <c r="F422" s="188"/>
      <c r="G422" s="188"/>
    </row>
    <row r="423" spans="1:7" ht="17.25" customHeight="1">
      <c r="A423" s="39">
        <v>23131</v>
      </c>
      <c r="B423" s="39">
        <v>30</v>
      </c>
      <c r="C423" s="39" t="s">
        <v>227</v>
      </c>
      <c r="D423" s="39" t="s">
        <v>531</v>
      </c>
      <c r="E423" s="39">
        <v>3034</v>
      </c>
      <c r="F423" s="188"/>
      <c r="G423" s="188"/>
    </row>
    <row r="424" spans="1:7" ht="17.25" customHeight="1">
      <c r="A424" s="39"/>
      <c r="B424" s="219">
        <f>SUM(B412:B423)</f>
        <v>360</v>
      </c>
      <c r="C424" s="219"/>
      <c r="D424" s="219"/>
      <c r="E424" s="219">
        <f>SUM(E412:E423)</f>
        <v>32236</v>
      </c>
      <c r="F424" s="188"/>
      <c r="G424" s="188"/>
    </row>
    <row r="425" spans="1:7" ht="17.25" customHeight="1">
      <c r="A425" s="219" t="s">
        <v>14</v>
      </c>
      <c r="B425" s="124">
        <f>B424</f>
        <v>360</v>
      </c>
      <c r="C425" s="124"/>
      <c r="D425" s="124"/>
      <c r="E425" s="124">
        <f>E424</f>
        <v>32236</v>
      </c>
      <c r="F425" s="188"/>
      <c r="G425" s="188"/>
    </row>
    <row r="426" spans="1:7" ht="17.25" customHeight="1">
      <c r="A426" s="220"/>
      <c r="B426" s="125"/>
      <c r="C426" s="126"/>
      <c r="D426" s="124"/>
      <c r="E426" s="124"/>
      <c r="F426" s="188"/>
      <c r="G426" s="188"/>
    </row>
    <row r="427" spans="1:7" ht="30.75" customHeight="1">
      <c r="A427" s="301" t="s">
        <v>606</v>
      </c>
      <c r="B427" s="302"/>
      <c r="C427" s="302"/>
      <c r="D427" s="302"/>
      <c r="E427" s="302"/>
      <c r="F427" s="188"/>
      <c r="G427" s="188"/>
    </row>
    <row r="428" spans="1:7" ht="27.75" customHeight="1">
      <c r="A428" s="22" t="s">
        <v>211</v>
      </c>
      <c r="B428" s="22" t="s">
        <v>212</v>
      </c>
      <c r="C428" s="22" t="s">
        <v>213</v>
      </c>
      <c r="D428" s="22" t="s">
        <v>214</v>
      </c>
      <c r="E428" s="86" t="s">
        <v>215</v>
      </c>
      <c r="F428" s="188"/>
      <c r="G428" s="188"/>
    </row>
    <row r="429" spans="1:7" ht="17.25" customHeight="1">
      <c r="A429" s="303" t="s">
        <v>216</v>
      </c>
      <c r="B429" s="304"/>
      <c r="C429" s="305"/>
      <c r="D429" s="39"/>
      <c r="E429" s="38"/>
      <c r="F429" s="188"/>
      <c r="G429" s="188"/>
    </row>
    <row r="430" spans="1:7" ht="17.25" customHeight="1">
      <c r="A430" s="59">
        <v>23120</v>
      </c>
      <c r="B430" s="59">
        <v>30</v>
      </c>
      <c r="C430" s="44" t="s">
        <v>224</v>
      </c>
      <c r="D430" s="39" t="s">
        <v>532</v>
      </c>
      <c r="E430" s="39">
        <v>2263</v>
      </c>
      <c r="F430" s="232">
        <f>SUM(B430:B434)</f>
        <v>140</v>
      </c>
      <c r="G430" s="188"/>
    </row>
    <row r="431" spans="1:7" ht="17.25" customHeight="1">
      <c r="A431" s="59">
        <v>23121</v>
      </c>
      <c r="B431" s="59">
        <v>30</v>
      </c>
      <c r="C431" s="44" t="s">
        <v>224</v>
      </c>
      <c r="D431" s="39" t="s">
        <v>533</v>
      </c>
      <c r="E431" s="39">
        <v>2269</v>
      </c>
      <c r="F431" s="232">
        <f>SUM(B435:B441)</f>
        <v>208</v>
      </c>
      <c r="G431" s="188"/>
    </row>
    <row r="432" spans="1:7" ht="17.25" customHeight="1">
      <c r="A432" s="59">
        <v>23122</v>
      </c>
      <c r="B432" s="59">
        <v>30</v>
      </c>
      <c r="C432" s="44" t="s">
        <v>224</v>
      </c>
      <c r="D432" s="39" t="s">
        <v>534</v>
      </c>
      <c r="E432" s="59">
        <v>2267</v>
      </c>
      <c r="F432" s="188"/>
      <c r="G432" s="188"/>
    </row>
    <row r="433" spans="1:7" ht="17.25" customHeight="1">
      <c r="A433" s="59">
        <v>23123</v>
      </c>
      <c r="B433" s="59">
        <v>30</v>
      </c>
      <c r="C433" s="44" t="s">
        <v>224</v>
      </c>
      <c r="D433" s="39" t="s">
        <v>535</v>
      </c>
      <c r="E433" s="59">
        <v>2255</v>
      </c>
      <c r="F433" s="188"/>
      <c r="G433" s="188"/>
    </row>
    <row r="434" spans="1:7" ht="17.25" customHeight="1">
      <c r="A434" s="59">
        <v>23124</v>
      </c>
      <c r="B434" s="59">
        <v>20</v>
      </c>
      <c r="C434" s="44" t="s">
        <v>224</v>
      </c>
      <c r="D434" s="59" t="s">
        <v>536</v>
      </c>
      <c r="E434" s="59">
        <v>1501</v>
      </c>
      <c r="F434" s="188"/>
      <c r="G434" s="188"/>
    </row>
    <row r="435" spans="1:7" ht="17.25" customHeight="1">
      <c r="A435" s="39">
        <v>23132</v>
      </c>
      <c r="B435" s="39">
        <v>30</v>
      </c>
      <c r="C435" s="39" t="s">
        <v>227</v>
      </c>
      <c r="D435" s="39" t="s">
        <v>537</v>
      </c>
      <c r="E435" s="39">
        <v>2901</v>
      </c>
      <c r="F435" s="188"/>
      <c r="G435" s="188"/>
    </row>
    <row r="436" spans="1:7" ht="17.25" customHeight="1">
      <c r="A436" s="39">
        <v>23133</v>
      </c>
      <c r="B436" s="39">
        <v>30</v>
      </c>
      <c r="C436" s="39" t="s">
        <v>227</v>
      </c>
      <c r="D436" s="39" t="s">
        <v>538</v>
      </c>
      <c r="E436" s="39">
        <v>2884</v>
      </c>
      <c r="F436" s="188"/>
      <c r="G436" s="188"/>
    </row>
    <row r="437" spans="1:7" ht="17.25" customHeight="1">
      <c r="A437" s="39">
        <v>23134</v>
      </c>
      <c r="B437" s="39">
        <v>30</v>
      </c>
      <c r="C437" s="39" t="s">
        <v>227</v>
      </c>
      <c r="D437" s="235" t="s">
        <v>539</v>
      </c>
      <c r="E437" s="39">
        <v>2877</v>
      </c>
      <c r="F437" s="188"/>
      <c r="G437" s="188"/>
    </row>
    <row r="438" spans="1:7" ht="17.25" customHeight="1">
      <c r="A438" s="39">
        <v>23135</v>
      </c>
      <c r="B438" s="39">
        <v>30</v>
      </c>
      <c r="C438" s="39" t="s">
        <v>227</v>
      </c>
      <c r="D438" s="39" t="s">
        <v>540</v>
      </c>
      <c r="E438" s="39">
        <v>2881</v>
      </c>
      <c r="F438" s="188"/>
      <c r="G438" s="188"/>
    </row>
    <row r="439" spans="1:7" ht="17.25" customHeight="1">
      <c r="A439" s="39">
        <v>23136</v>
      </c>
      <c r="B439" s="39">
        <v>30</v>
      </c>
      <c r="C439" s="39" t="s">
        <v>227</v>
      </c>
      <c r="D439" s="39" t="s">
        <v>541</v>
      </c>
      <c r="E439" s="39">
        <v>2928</v>
      </c>
      <c r="F439" s="188"/>
      <c r="G439" s="188"/>
    </row>
    <row r="440" spans="1:7" ht="17.25" customHeight="1">
      <c r="A440" s="39">
        <v>23137</v>
      </c>
      <c r="B440" s="39">
        <v>30</v>
      </c>
      <c r="C440" s="39" t="s">
        <v>227</v>
      </c>
      <c r="D440" s="59" t="s">
        <v>542</v>
      </c>
      <c r="E440" s="39">
        <v>2946</v>
      </c>
      <c r="F440" s="188"/>
      <c r="G440" s="188"/>
    </row>
    <row r="441" spans="1:7" ht="17.25" customHeight="1">
      <c r="A441" s="39">
        <v>23138</v>
      </c>
      <c r="B441" s="39">
        <v>28</v>
      </c>
      <c r="C441" s="39" t="s">
        <v>227</v>
      </c>
      <c r="D441" s="39" t="s">
        <v>543</v>
      </c>
      <c r="E441" s="39">
        <v>2751</v>
      </c>
      <c r="F441" s="188"/>
      <c r="G441" s="188"/>
    </row>
    <row r="442" spans="1:7" ht="17.25" customHeight="1">
      <c r="A442" s="39"/>
      <c r="B442" s="219">
        <f>SUM(B430:B441)</f>
        <v>348</v>
      </c>
      <c r="C442" s="219"/>
      <c r="D442" s="219"/>
      <c r="E442" s="219">
        <f>SUM(E430:E441)</f>
        <v>30723</v>
      </c>
      <c r="F442" s="188"/>
      <c r="G442" s="188"/>
    </row>
    <row r="443" spans="1:7" ht="17.25" customHeight="1">
      <c r="A443" s="219" t="s">
        <v>14</v>
      </c>
      <c r="B443" s="124">
        <f>B442</f>
        <v>348</v>
      </c>
      <c r="C443" s="124"/>
      <c r="D443" s="124"/>
      <c r="E443" s="124">
        <f>E442</f>
        <v>30723</v>
      </c>
      <c r="F443" s="188"/>
      <c r="G443" s="188"/>
    </row>
    <row r="444" spans="1:7" ht="17.25" customHeight="1">
      <c r="A444" s="240"/>
      <c r="B444" s="125"/>
      <c r="C444" s="126"/>
      <c r="D444" s="124"/>
      <c r="E444" s="124"/>
      <c r="F444" s="188"/>
      <c r="G444" s="188"/>
    </row>
    <row r="445" spans="1:7" ht="30.75" customHeight="1">
      <c r="A445" s="301" t="s">
        <v>607</v>
      </c>
      <c r="B445" s="302"/>
      <c r="C445" s="302"/>
      <c r="D445" s="302"/>
      <c r="E445" s="302"/>
      <c r="F445" s="188"/>
      <c r="G445" s="188"/>
    </row>
    <row r="446" spans="1:7" ht="26.25" customHeight="1">
      <c r="A446" s="39" t="s">
        <v>211</v>
      </c>
      <c r="B446" s="39" t="s">
        <v>212</v>
      </c>
      <c r="C446" s="39" t="s">
        <v>213</v>
      </c>
      <c r="D446" s="39" t="s">
        <v>214</v>
      </c>
      <c r="E446" s="38" t="s">
        <v>215</v>
      </c>
      <c r="F446" s="188"/>
      <c r="G446" s="188"/>
    </row>
    <row r="447" spans="1:7" ht="17.25" customHeight="1">
      <c r="A447" s="303" t="s">
        <v>222</v>
      </c>
      <c r="B447" s="304"/>
      <c r="C447" s="305"/>
      <c r="D447" s="39"/>
      <c r="E447" s="38"/>
      <c r="F447" s="188"/>
      <c r="G447" s="188"/>
    </row>
    <row r="448" spans="1:7" ht="17.25" customHeight="1">
      <c r="A448" s="69">
        <v>1303</v>
      </c>
      <c r="B448" s="90">
        <v>10</v>
      </c>
      <c r="C448" s="90" t="s">
        <v>217</v>
      </c>
      <c r="D448" s="69" t="s">
        <v>551</v>
      </c>
      <c r="E448" s="69">
        <v>792</v>
      </c>
      <c r="F448" s="188"/>
      <c r="G448" s="188"/>
    </row>
    <row r="449" spans="1:7" ht="17.25" customHeight="1">
      <c r="A449" s="39"/>
      <c r="B449" s="250">
        <f>SUM(B448:B448)</f>
        <v>10</v>
      </c>
      <c r="C449" s="250"/>
      <c r="D449" s="239"/>
      <c r="E449" s="239">
        <f>SUM(E448:E448)</f>
        <v>792</v>
      </c>
      <c r="F449" s="188"/>
      <c r="G449" s="188"/>
    </row>
    <row r="450" spans="1:7" ht="17.25" customHeight="1">
      <c r="A450" s="303" t="s">
        <v>216</v>
      </c>
      <c r="B450" s="304"/>
      <c r="C450" s="305"/>
      <c r="D450" s="39"/>
      <c r="E450" s="38"/>
      <c r="F450" s="188"/>
      <c r="G450" s="188"/>
    </row>
    <row r="451" spans="1:7" ht="17.25" customHeight="1">
      <c r="A451" s="135">
        <v>1304</v>
      </c>
      <c r="B451" s="59">
        <v>14</v>
      </c>
      <c r="C451" s="39" t="s">
        <v>217</v>
      </c>
      <c r="D451" s="104" t="s">
        <v>291</v>
      </c>
      <c r="E451" s="59">
        <v>797</v>
      </c>
      <c r="F451" s="188"/>
      <c r="G451" s="188"/>
    </row>
    <row r="452" spans="1:7" ht="17.25" customHeight="1">
      <c r="A452" s="39"/>
      <c r="B452" s="239">
        <f>SUM(B451:B451)</f>
        <v>14</v>
      </c>
      <c r="C452" s="239"/>
      <c r="D452" s="239"/>
      <c r="E452" s="239">
        <f>SUM(E451:E451)</f>
        <v>797</v>
      </c>
      <c r="F452" s="188"/>
      <c r="G452" s="188"/>
    </row>
    <row r="453" spans="1:7" ht="17.25" customHeight="1">
      <c r="A453" s="239" t="s">
        <v>14</v>
      </c>
      <c r="B453" s="124">
        <f>B449+B452</f>
        <v>24</v>
      </c>
      <c r="C453" s="124"/>
      <c r="D453" s="124"/>
      <c r="E453" s="124">
        <f>E449+E452</f>
        <v>1589</v>
      </c>
      <c r="F453" s="188"/>
      <c r="G453" s="188"/>
    </row>
    <row r="454" spans="1:7" ht="17.25" customHeight="1">
      <c r="A454" s="242"/>
      <c r="B454" s="125"/>
      <c r="C454" s="126"/>
      <c r="D454" s="124"/>
      <c r="E454" s="124"/>
      <c r="F454" s="188"/>
      <c r="G454" s="188"/>
    </row>
    <row r="455" spans="1:7" ht="33" customHeight="1">
      <c r="A455" s="301" t="s">
        <v>608</v>
      </c>
      <c r="B455" s="302"/>
      <c r="C455" s="302"/>
      <c r="D455" s="302"/>
      <c r="E455" s="302"/>
      <c r="F455" s="188"/>
      <c r="G455" s="188"/>
    </row>
    <row r="456" spans="1:7" ht="23.25" customHeight="1">
      <c r="A456" s="39" t="s">
        <v>211</v>
      </c>
      <c r="B456" s="39" t="s">
        <v>212</v>
      </c>
      <c r="C456" s="39" t="s">
        <v>213</v>
      </c>
      <c r="D456" s="39" t="s">
        <v>214</v>
      </c>
      <c r="E456" s="38" t="s">
        <v>215</v>
      </c>
      <c r="F456" s="188"/>
      <c r="G456" s="188"/>
    </row>
    <row r="457" spans="1:7" ht="21.75" customHeight="1">
      <c r="A457" s="303" t="s">
        <v>222</v>
      </c>
      <c r="B457" s="304"/>
      <c r="C457" s="305"/>
      <c r="D457" s="39"/>
      <c r="E457" s="38"/>
      <c r="F457" s="188"/>
      <c r="G457" s="188"/>
    </row>
    <row r="458" spans="1:7" ht="17.25" customHeight="1">
      <c r="A458" s="39">
        <v>919</v>
      </c>
      <c r="B458" s="59">
        <v>4</v>
      </c>
      <c r="C458" s="59" t="s">
        <v>224</v>
      </c>
      <c r="D458" s="39" t="s">
        <v>552</v>
      </c>
      <c r="E458" s="39">
        <v>327</v>
      </c>
      <c r="F458" s="188"/>
      <c r="G458" s="188"/>
    </row>
    <row r="459" spans="1:7" ht="17.25" customHeight="1">
      <c r="A459" s="39">
        <v>920</v>
      </c>
      <c r="B459" s="39">
        <v>2</v>
      </c>
      <c r="C459" s="39" t="s">
        <v>227</v>
      </c>
      <c r="D459" s="39" t="s">
        <v>553</v>
      </c>
      <c r="E459" s="39">
        <v>194</v>
      </c>
      <c r="F459" s="188"/>
      <c r="G459" s="188"/>
    </row>
    <row r="460" spans="1:7" ht="17.25" customHeight="1">
      <c r="A460" s="39"/>
      <c r="B460" s="241">
        <f>SUM(B458:B459)</f>
        <v>6</v>
      </c>
      <c r="C460" s="241"/>
      <c r="D460" s="241"/>
      <c r="E460" s="241">
        <f>SUM(E458:E459)</f>
        <v>521</v>
      </c>
      <c r="F460" s="188"/>
      <c r="G460" s="188"/>
    </row>
    <row r="461" spans="1:7" ht="17.25" customHeight="1">
      <c r="A461" s="303" t="s">
        <v>216</v>
      </c>
      <c r="B461" s="304"/>
      <c r="C461" s="305"/>
      <c r="D461" s="39"/>
      <c r="E461" s="38"/>
      <c r="F461" s="188"/>
      <c r="G461" s="188"/>
    </row>
    <row r="462" spans="1:7" ht="17.25" customHeight="1">
      <c r="A462" s="39">
        <v>924</v>
      </c>
      <c r="B462" s="59">
        <v>15</v>
      </c>
      <c r="C462" s="59" t="s">
        <v>227</v>
      </c>
      <c r="D462" s="39" t="s">
        <v>555</v>
      </c>
      <c r="E462" s="39">
        <v>1559</v>
      </c>
      <c r="F462" s="188"/>
      <c r="G462" s="188"/>
    </row>
    <row r="463" spans="1:7" ht="17.25" customHeight="1">
      <c r="A463" s="39">
        <v>921</v>
      </c>
      <c r="B463" s="59">
        <v>8</v>
      </c>
      <c r="C463" s="59" t="s">
        <v>224</v>
      </c>
      <c r="D463" s="104" t="s">
        <v>554</v>
      </c>
      <c r="E463" s="39">
        <v>436</v>
      </c>
      <c r="F463" s="188"/>
      <c r="G463" s="188"/>
    </row>
    <row r="464" spans="1:7" ht="17.25" customHeight="1">
      <c r="A464" s="39">
        <v>922</v>
      </c>
      <c r="B464" s="39">
        <v>4</v>
      </c>
      <c r="C464" s="39" t="s">
        <v>227</v>
      </c>
      <c r="D464" s="104" t="s">
        <v>486</v>
      </c>
      <c r="E464" s="39">
        <v>335</v>
      </c>
      <c r="F464" s="188"/>
      <c r="G464" s="188"/>
    </row>
    <row r="465" spans="1:7" ht="17.25" customHeight="1">
      <c r="A465" s="39">
        <v>923</v>
      </c>
      <c r="B465" s="39">
        <v>3</v>
      </c>
      <c r="C465" s="251" t="s">
        <v>231</v>
      </c>
      <c r="D465" s="104" t="s">
        <v>238</v>
      </c>
      <c r="E465" s="59">
        <v>321</v>
      </c>
      <c r="F465" s="188"/>
      <c r="G465" s="188"/>
    </row>
    <row r="466" spans="1:7" ht="17.25" customHeight="1">
      <c r="A466" s="39"/>
      <c r="B466" s="241">
        <f>SUM(B462:B465)</f>
        <v>30</v>
      </c>
      <c r="C466" s="241"/>
      <c r="D466" s="241"/>
      <c r="E466" s="241">
        <f>SUM(E462:E465)</f>
        <v>2651</v>
      </c>
      <c r="F466" s="188"/>
      <c r="G466" s="188"/>
    </row>
    <row r="467" spans="1:7" ht="17.25" customHeight="1">
      <c r="A467" s="241" t="s">
        <v>14</v>
      </c>
      <c r="B467" s="124">
        <f>B460+B466</f>
        <v>36</v>
      </c>
      <c r="C467" s="124"/>
      <c r="D467" s="124"/>
      <c r="E467" s="124">
        <f>E460+E466</f>
        <v>3172</v>
      </c>
      <c r="F467" s="188"/>
      <c r="G467" s="188"/>
    </row>
    <row r="468" spans="1:7" ht="17.25" customHeight="1">
      <c r="A468" s="242"/>
      <c r="B468" s="125"/>
      <c r="C468" s="126"/>
      <c r="D468" s="124"/>
      <c r="E468" s="124"/>
      <c r="F468" s="188"/>
      <c r="G468" s="188"/>
    </row>
    <row r="469" spans="1:7" ht="26.25" customHeight="1">
      <c r="A469" s="301" t="s">
        <v>609</v>
      </c>
      <c r="B469" s="302"/>
      <c r="C469" s="302"/>
      <c r="D469" s="302"/>
      <c r="E469" s="302"/>
      <c r="F469" s="188"/>
      <c r="G469" s="188"/>
    </row>
    <row r="470" spans="1:7" ht="24" customHeight="1">
      <c r="A470" s="39" t="s">
        <v>211</v>
      </c>
      <c r="B470" s="39" t="s">
        <v>212</v>
      </c>
      <c r="C470" s="39" t="s">
        <v>213</v>
      </c>
      <c r="D470" s="39" t="s">
        <v>214</v>
      </c>
      <c r="E470" s="38" t="s">
        <v>215</v>
      </c>
      <c r="F470" s="188"/>
      <c r="G470" s="188"/>
    </row>
    <row r="471" spans="1:7" ht="18.75" customHeight="1">
      <c r="A471" s="303" t="s">
        <v>222</v>
      </c>
      <c r="B471" s="304"/>
      <c r="C471" s="305"/>
      <c r="D471" s="39"/>
      <c r="E471" s="38"/>
      <c r="F471" s="188"/>
      <c r="G471" s="188"/>
    </row>
    <row r="472" spans="1:7" ht="17.25" customHeight="1">
      <c r="A472" s="224">
        <v>118</v>
      </c>
      <c r="B472" s="225">
        <v>9</v>
      </c>
      <c r="C472" s="260" t="s">
        <v>217</v>
      </c>
      <c r="D472" s="104" t="s">
        <v>556</v>
      </c>
      <c r="E472" s="176">
        <v>703</v>
      </c>
      <c r="F472" s="188"/>
      <c r="G472" s="188"/>
    </row>
    <row r="473" spans="1:7" ht="17.25" customHeight="1">
      <c r="A473" s="225">
        <v>119</v>
      </c>
      <c r="B473" s="225">
        <v>12</v>
      </c>
      <c r="C473" s="260" t="s">
        <v>236</v>
      </c>
      <c r="D473" s="227" t="s">
        <v>557</v>
      </c>
      <c r="E473" s="260">
        <v>1246</v>
      </c>
      <c r="F473" s="188"/>
      <c r="G473" s="188"/>
    </row>
    <row r="474" spans="1:7" ht="17.25" customHeight="1">
      <c r="A474" s="39"/>
      <c r="B474" s="241">
        <f>SUM(B472:B473)</f>
        <v>21</v>
      </c>
      <c r="C474" s="241"/>
      <c r="D474" s="241"/>
      <c r="E474" s="241">
        <f>SUM(E472:E473)</f>
        <v>1949</v>
      </c>
      <c r="F474" s="188"/>
      <c r="G474" s="188"/>
    </row>
    <row r="475" spans="1:7" ht="17.25" customHeight="1">
      <c r="A475" s="303" t="s">
        <v>216</v>
      </c>
      <c r="B475" s="304"/>
      <c r="C475" s="305"/>
      <c r="D475" s="39"/>
      <c r="E475" s="38"/>
      <c r="F475" s="188"/>
      <c r="G475" s="188"/>
    </row>
    <row r="476" spans="1:7" ht="47.25" customHeight="1">
      <c r="A476" s="110">
        <v>122</v>
      </c>
      <c r="B476" s="111">
        <v>31</v>
      </c>
      <c r="C476" s="123" t="s">
        <v>377</v>
      </c>
      <c r="D476" s="116" t="s">
        <v>558</v>
      </c>
      <c r="E476" s="115">
        <v>3316</v>
      </c>
      <c r="F476" s="188"/>
      <c r="G476" s="188"/>
    </row>
    <row r="477" spans="1:7" ht="17.25" customHeight="1">
      <c r="A477" s="110">
        <v>120</v>
      </c>
      <c r="B477" s="111">
        <v>23</v>
      </c>
      <c r="C477" s="112" t="s">
        <v>217</v>
      </c>
      <c r="D477" s="116" t="s">
        <v>350</v>
      </c>
      <c r="E477" s="115">
        <v>1071</v>
      </c>
      <c r="F477" s="188"/>
      <c r="G477" s="188"/>
    </row>
    <row r="478" spans="1:7" ht="17.25" customHeight="1">
      <c r="A478" s="110">
        <v>123</v>
      </c>
      <c r="B478" s="111">
        <v>5</v>
      </c>
      <c r="C478" s="112" t="s">
        <v>217</v>
      </c>
      <c r="D478" s="116" t="s">
        <v>293</v>
      </c>
      <c r="E478" s="115">
        <v>233</v>
      </c>
      <c r="F478" s="188"/>
      <c r="G478" s="188"/>
    </row>
    <row r="479" spans="1:7" ht="17.25" customHeight="1">
      <c r="A479" s="110">
        <v>124</v>
      </c>
      <c r="B479" s="111">
        <v>14</v>
      </c>
      <c r="C479" s="112" t="s">
        <v>217</v>
      </c>
      <c r="D479" s="116" t="s">
        <v>291</v>
      </c>
      <c r="E479" s="103">
        <v>656</v>
      </c>
      <c r="F479" s="188"/>
      <c r="G479" s="188"/>
    </row>
    <row r="480" spans="1:7" ht="17.25" customHeight="1">
      <c r="A480" s="39">
        <v>125</v>
      </c>
      <c r="B480" s="176">
        <v>2</v>
      </c>
      <c r="C480" s="176" t="s">
        <v>236</v>
      </c>
      <c r="D480" s="104" t="s">
        <v>559</v>
      </c>
      <c r="E480" s="176">
        <v>200</v>
      </c>
      <c r="F480" s="188"/>
      <c r="G480" s="188"/>
    </row>
    <row r="481" spans="1:7" ht="17.25" customHeight="1">
      <c r="A481" s="39"/>
      <c r="B481" s="241">
        <f>SUM(B476:B480)</f>
        <v>75</v>
      </c>
      <c r="C481" s="243"/>
      <c r="D481" s="243"/>
      <c r="E481" s="243">
        <f>SUM(E476:E480)</f>
        <v>5476</v>
      </c>
      <c r="F481" s="188"/>
      <c r="G481" s="188"/>
    </row>
    <row r="482" spans="1:7" ht="17.25" customHeight="1">
      <c r="A482" s="303" t="s">
        <v>229</v>
      </c>
      <c r="B482" s="304"/>
      <c r="C482" s="305"/>
      <c r="D482" s="241"/>
      <c r="E482" s="241"/>
      <c r="F482" s="188"/>
      <c r="G482" s="188"/>
    </row>
    <row r="483" spans="1:7" ht="17.25" customHeight="1">
      <c r="A483" s="110">
        <v>121</v>
      </c>
      <c r="B483" s="111">
        <v>3</v>
      </c>
      <c r="C483" s="112" t="s">
        <v>217</v>
      </c>
      <c r="D483" s="261" t="s">
        <v>238</v>
      </c>
      <c r="E483" s="182">
        <v>102</v>
      </c>
      <c r="F483" s="188"/>
      <c r="G483" s="188"/>
    </row>
    <row r="484" spans="1:7" ht="17.25" customHeight="1">
      <c r="A484" s="39"/>
      <c r="B484" s="241">
        <f>B483</f>
        <v>3</v>
      </c>
      <c r="C484" s="241"/>
      <c r="D484" s="241"/>
      <c r="E484" s="241">
        <f>E483</f>
        <v>102</v>
      </c>
      <c r="F484" s="188"/>
      <c r="G484" s="188"/>
    </row>
    <row r="485" spans="1:7" ht="17.25" customHeight="1">
      <c r="A485" s="241" t="s">
        <v>14</v>
      </c>
      <c r="B485" s="124">
        <f>B474+B481+B484</f>
        <v>99</v>
      </c>
      <c r="C485" s="124"/>
      <c r="D485" s="124"/>
      <c r="E485" s="124">
        <f>E474+E481+E484</f>
        <v>7527</v>
      </c>
      <c r="F485" s="188"/>
      <c r="G485" s="188"/>
    </row>
    <row r="486" spans="1:7" ht="17.25" customHeight="1">
      <c r="A486" s="245"/>
      <c r="B486" s="125"/>
      <c r="C486" s="126"/>
      <c r="D486" s="124"/>
      <c r="E486" s="124"/>
      <c r="F486" s="188"/>
      <c r="G486" s="188"/>
    </row>
    <row r="487" spans="1:7" ht="25.5" customHeight="1">
      <c r="A487" s="301" t="s">
        <v>610</v>
      </c>
      <c r="B487" s="302"/>
      <c r="C487" s="302"/>
      <c r="D487" s="302"/>
      <c r="E487" s="302"/>
      <c r="F487" s="188"/>
      <c r="G487" s="188"/>
    </row>
    <row r="488" spans="1:7" ht="22.5" customHeight="1">
      <c r="A488" s="39" t="s">
        <v>211</v>
      </c>
      <c r="B488" s="39" t="s">
        <v>212</v>
      </c>
      <c r="C488" s="39" t="s">
        <v>213</v>
      </c>
      <c r="D488" s="39" t="s">
        <v>214</v>
      </c>
      <c r="E488" s="38" t="s">
        <v>215</v>
      </c>
      <c r="F488" s="188"/>
      <c r="G488" s="188"/>
    </row>
    <row r="489" spans="1:7" ht="17.25" customHeight="1">
      <c r="A489" s="303" t="s">
        <v>222</v>
      </c>
      <c r="B489" s="304"/>
      <c r="C489" s="305"/>
      <c r="D489" s="39"/>
      <c r="E489" s="38"/>
      <c r="F489" s="188"/>
      <c r="G489" s="188"/>
    </row>
    <row r="490" spans="1:7" ht="17.25" customHeight="1">
      <c r="A490" s="59">
        <v>24002</v>
      </c>
      <c r="B490" s="176">
        <v>1</v>
      </c>
      <c r="C490" s="104" t="s">
        <v>223</v>
      </c>
      <c r="D490" s="104" t="s">
        <v>562</v>
      </c>
      <c r="E490" s="176">
        <v>54</v>
      </c>
      <c r="F490" s="188"/>
      <c r="G490" s="188"/>
    </row>
    <row r="491" spans="1:7" ht="17.25" customHeight="1">
      <c r="A491" s="59">
        <v>24003</v>
      </c>
      <c r="B491" s="176">
        <v>1</v>
      </c>
      <c r="C491" s="104" t="s">
        <v>224</v>
      </c>
      <c r="D491" s="104" t="s">
        <v>563</v>
      </c>
      <c r="E491" s="176">
        <v>87</v>
      </c>
      <c r="F491" s="188"/>
      <c r="G491" s="188"/>
    </row>
    <row r="492" spans="1:7" ht="17.25" customHeight="1">
      <c r="A492" s="59">
        <v>24004</v>
      </c>
      <c r="B492" s="176">
        <v>3</v>
      </c>
      <c r="C492" s="104" t="s">
        <v>227</v>
      </c>
      <c r="D492" s="104" t="s">
        <v>564</v>
      </c>
      <c r="E492" s="176">
        <v>355</v>
      </c>
      <c r="F492" s="188"/>
      <c r="G492" s="188"/>
    </row>
    <row r="493" spans="1:7" ht="17.25" customHeight="1">
      <c r="A493" s="39"/>
      <c r="B493" s="244">
        <f>SUM(B490:B492)</f>
        <v>5</v>
      </c>
      <c r="C493" s="244"/>
      <c r="D493" s="244"/>
      <c r="E493" s="244">
        <f>SUM(E490:E492)</f>
        <v>496</v>
      </c>
      <c r="F493" s="188"/>
      <c r="G493" s="188"/>
    </row>
    <row r="494" spans="1:7" ht="17.25" customHeight="1">
      <c r="A494" s="303" t="s">
        <v>216</v>
      </c>
      <c r="B494" s="304"/>
      <c r="C494" s="305"/>
      <c r="D494" s="39"/>
      <c r="E494" s="38"/>
      <c r="F494" s="188"/>
      <c r="G494" s="188"/>
    </row>
    <row r="495" spans="1:7" ht="17.25" customHeight="1">
      <c r="A495" s="59">
        <v>24005</v>
      </c>
      <c r="B495" s="176">
        <v>1</v>
      </c>
      <c r="C495" s="176" t="s">
        <v>223</v>
      </c>
      <c r="D495" s="104" t="s">
        <v>565</v>
      </c>
      <c r="E495" s="176">
        <v>56</v>
      </c>
      <c r="F495" s="188"/>
      <c r="G495" s="188"/>
    </row>
    <row r="496" spans="1:7" ht="17.25" customHeight="1">
      <c r="A496" s="59">
        <v>24006</v>
      </c>
      <c r="B496" s="176">
        <v>5</v>
      </c>
      <c r="C496" s="131" t="s">
        <v>239</v>
      </c>
      <c r="D496" s="104" t="s">
        <v>566</v>
      </c>
      <c r="E496" s="176">
        <v>1048</v>
      </c>
      <c r="F496" s="188"/>
      <c r="G496" s="188"/>
    </row>
    <row r="497" spans="1:7" ht="17.25" customHeight="1">
      <c r="A497" s="59">
        <v>24007</v>
      </c>
      <c r="B497" s="176">
        <v>1</v>
      </c>
      <c r="C497" s="131" t="s">
        <v>242</v>
      </c>
      <c r="D497" s="104" t="s">
        <v>567</v>
      </c>
      <c r="E497" s="176">
        <v>300</v>
      </c>
      <c r="F497" s="188"/>
      <c r="G497" s="188"/>
    </row>
    <row r="498" spans="1:7" ht="17.25" customHeight="1">
      <c r="A498" s="59">
        <v>24009</v>
      </c>
      <c r="B498" s="203">
        <v>1</v>
      </c>
      <c r="C498" s="251" t="s">
        <v>569</v>
      </c>
      <c r="D498" s="181" t="s">
        <v>568</v>
      </c>
      <c r="E498" s="203">
        <v>780</v>
      </c>
      <c r="F498" s="188"/>
      <c r="G498" s="188"/>
    </row>
    <row r="499" spans="1:7" ht="17.25" customHeight="1">
      <c r="A499" s="59">
        <v>24008</v>
      </c>
      <c r="B499" s="203">
        <v>2</v>
      </c>
      <c r="C499" s="181" t="s">
        <v>227</v>
      </c>
      <c r="D499" s="181" t="s">
        <v>570</v>
      </c>
      <c r="E499" s="203">
        <v>155</v>
      </c>
      <c r="F499" s="188"/>
      <c r="G499" s="188"/>
    </row>
    <row r="500" spans="1:7" ht="17.25" customHeight="1">
      <c r="A500" s="59">
        <v>24008</v>
      </c>
      <c r="B500" s="203">
        <v>1</v>
      </c>
      <c r="C500" s="251" t="s">
        <v>231</v>
      </c>
      <c r="D500" s="262" t="s">
        <v>571</v>
      </c>
      <c r="E500" s="181">
        <v>95</v>
      </c>
      <c r="F500" s="188"/>
      <c r="G500" s="188"/>
    </row>
    <row r="501" spans="1:7" ht="17.25" customHeight="1">
      <c r="A501" s="39"/>
      <c r="B501" s="244">
        <f>SUM(B495:B500)</f>
        <v>11</v>
      </c>
      <c r="C501" s="244"/>
      <c r="D501" s="244"/>
      <c r="E501" s="244">
        <f>SUM(E495:E500)</f>
        <v>2434</v>
      </c>
      <c r="F501" s="188"/>
      <c r="G501" s="188"/>
    </row>
    <row r="502" spans="1:7" ht="17.25" customHeight="1">
      <c r="A502" s="303" t="s">
        <v>228</v>
      </c>
      <c r="B502" s="304"/>
      <c r="C502" s="305"/>
      <c r="D502" s="244"/>
      <c r="E502" s="244"/>
      <c r="F502" s="188"/>
      <c r="G502" s="188"/>
    </row>
    <row r="503" spans="1:7" ht="17.25" customHeight="1">
      <c r="A503" s="41">
        <v>24001</v>
      </c>
      <c r="B503" s="59">
        <v>2</v>
      </c>
      <c r="C503" s="39" t="s">
        <v>217</v>
      </c>
      <c r="D503" s="69" t="s">
        <v>300</v>
      </c>
      <c r="E503" s="39">
        <v>120</v>
      </c>
      <c r="F503" s="188"/>
      <c r="G503" s="188"/>
    </row>
    <row r="504" spans="1:7" ht="17.25" customHeight="1">
      <c r="A504" s="39"/>
      <c r="B504" s="244">
        <f>B503</f>
        <v>2</v>
      </c>
      <c r="C504" s="244"/>
      <c r="D504" s="244"/>
      <c r="E504" s="244">
        <f>E503</f>
        <v>120</v>
      </c>
      <c r="F504" s="188"/>
      <c r="G504" s="188"/>
    </row>
    <row r="505" spans="1:7" ht="17.25" customHeight="1">
      <c r="A505" s="244" t="s">
        <v>14</v>
      </c>
      <c r="B505" s="124">
        <f>B493+B501+B504</f>
        <v>18</v>
      </c>
      <c r="C505" s="124"/>
      <c r="D505" s="124"/>
      <c r="E505" s="124">
        <f>E493+E501+E504</f>
        <v>3050</v>
      </c>
      <c r="F505" s="188"/>
      <c r="G505" s="188"/>
    </row>
    <row r="506" spans="1:7" ht="17.25" customHeight="1">
      <c r="A506" s="267"/>
      <c r="B506" s="125"/>
      <c r="C506" s="126"/>
      <c r="D506" s="124"/>
      <c r="E506" s="124"/>
      <c r="F506" s="188"/>
      <c r="G506" s="188"/>
    </row>
    <row r="507" spans="1:7" ht="27" customHeight="1">
      <c r="A507" s="301" t="s">
        <v>617</v>
      </c>
      <c r="B507" s="302"/>
      <c r="C507" s="302"/>
      <c r="D507" s="302"/>
      <c r="E507" s="302"/>
      <c r="F507" s="188"/>
      <c r="G507" s="188"/>
    </row>
    <row r="508" spans="1:7" ht="24" customHeight="1">
      <c r="A508" s="39" t="s">
        <v>211</v>
      </c>
      <c r="B508" s="39" t="s">
        <v>212</v>
      </c>
      <c r="C508" s="39" t="s">
        <v>213</v>
      </c>
      <c r="D508" s="39" t="s">
        <v>214</v>
      </c>
      <c r="E508" s="38" t="s">
        <v>215</v>
      </c>
      <c r="F508" s="188"/>
      <c r="G508" s="188"/>
    </row>
    <row r="509" spans="1:7" ht="17.25" customHeight="1">
      <c r="A509" s="303" t="s">
        <v>222</v>
      </c>
      <c r="B509" s="304"/>
      <c r="C509" s="305"/>
      <c r="D509" s="39"/>
      <c r="E509" s="38"/>
      <c r="F509" s="188"/>
      <c r="G509" s="188"/>
    </row>
    <row r="510" spans="1:7" ht="17.25" customHeight="1">
      <c r="A510" s="39">
        <v>1129</v>
      </c>
      <c r="B510" s="59">
        <v>21</v>
      </c>
      <c r="C510" s="59" t="s">
        <v>227</v>
      </c>
      <c r="D510" s="39" t="s">
        <v>611</v>
      </c>
      <c r="E510" s="39">
        <v>2240</v>
      </c>
      <c r="F510" s="188"/>
      <c r="G510" s="188"/>
    </row>
    <row r="511" spans="1:7" ht="17.25" customHeight="1">
      <c r="A511" s="39"/>
      <c r="B511" s="266">
        <f>SUM(B510:B510)</f>
        <v>21</v>
      </c>
      <c r="C511" s="266"/>
      <c r="D511" s="266"/>
      <c r="E511" s="266">
        <f>SUM(E510:E510)</f>
        <v>2240</v>
      </c>
      <c r="F511" s="188"/>
      <c r="G511" s="188"/>
    </row>
    <row r="512" spans="1:7" ht="17.25" customHeight="1">
      <c r="A512" s="303" t="s">
        <v>216</v>
      </c>
      <c r="B512" s="304"/>
      <c r="C512" s="305"/>
      <c r="D512" s="39"/>
      <c r="E512" s="38"/>
      <c r="F512" s="188"/>
      <c r="G512" s="188"/>
    </row>
    <row r="513" spans="1:7" ht="31.5" customHeight="1">
      <c r="A513" s="39">
        <v>1130</v>
      </c>
      <c r="B513" s="59">
        <v>15</v>
      </c>
      <c r="C513" s="131" t="s">
        <v>231</v>
      </c>
      <c r="D513" s="39" t="s">
        <v>612</v>
      </c>
      <c r="E513" s="39">
        <v>1390</v>
      </c>
      <c r="F513" s="188"/>
      <c r="G513" s="188"/>
    </row>
    <row r="514" spans="1:7" ht="17.25" customHeight="1">
      <c r="A514" s="39">
        <v>1131</v>
      </c>
      <c r="B514" s="39">
        <v>5</v>
      </c>
      <c r="C514" s="251" t="s">
        <v>239</v>
      </c>
      <c r="D514" s="39" t="s">
        <v>613</v>
      </c>
      <c r="E514" s="39">
        <v>824</v>
      </c>
      <c r="F514" s="188"/>
      <c r="G514" s="188"/>
    </row>
    <row r="515" spans="1:7" ht="17.25" customHeight="1">
      <c r="A515" s="39">
        <v>1132</v>
      </c>
      <c r="B515" s="39">
        <v>2</v>
      </c>
      <c r="C515" s="251" t="s">
        <v>242</v>
      </c>
      <c r="D515" s="90" t="s">
        <v>614</v>
      </c>
      <c r="E515" s="39">
        <v>497</v>
      </c>
      <c r="F515" s="188"/>
      <c r="G515" s="188"/>
    </row>
    <row r="516" spans="1:7" ht="17.25" customHeight="1">
      <c r="A516" s="69">
        <v>1125</v>
      </c>
      <c r="B516" s="90">
        <v>22</v>
      </c>
      <c r="C516" s="90" t="s">
        <v>227</v>
      </c>
      <c r="D516" s="106" t="s">
        <v>380</v>
      </c>
      <c r="E516" s="105">
        <v>2261</v>
      </c>
      <c r="F516" s="188"/>
      <c r="G516" s="188"/>
    </row>
    <row r="517" spans="1:7" ht="17.25" customHeight="1">
      <c r="A517" s="39">
        <v>1126</v>
      </c>
      <c r="B517" s="39">
        <v>20</v>
      </c>
      <c r="C517" s="90" t="s">
        <v>224</v>
      </c>
      <c r="D517" s="106" t="s">
        <v>485</v>
      </c>
      <c r="E517" s="104">
        <v>1866</v>
      </c>
      <c r="F517" s="188"/>
      <c r="G517" s="188"/>
    </row>
    <row r="518" spans="1:7" ht="17.25" customHeight="1">
      <c r="A518" s="39">
        <v>1127</v>
      </c>
      <c r="B518" s="39">
        <v>21</v>
      </c>
      <c r="C518" s="90" t="s">
        <v>224</v>
      </c>
      <c r="D518" s="106" t="s">
        <v>615</v>
      </c>
      <c r="E518" s="104">
        <v>1988</v>
      </c>
      <c r="F518" s="188"/>
      <c r="G518" s="188"/>
    </row>
    <row r="519" spans="1:7" ht="17.25" customHeight="1">
      <c r="A519" s="39"/>
      <c r="B519" s="266">
        <f>SUM(B513:B518)</f>
        <v>85</v>
      </c>
      <c r="C519" s="266"/>
      <c r="D519" s="266"/>
      <c r="E519" s="266">
        <f>SUM(E513:E518)</f>
        <v>8826</v>
      </c>
      <c r="F519" s="188"/>
      <c r="G519" s="188"/>
    </row>
    <row r="520" spans="1:7" ht="17.25" customHeight="1">
      <c r="A520" s="303" t="s">
        <v>229</v>
      </c>
      <c r="B520" s="304"/>
      <c r="C520" s="305"/>
      <c r="D520" s="266"/>
      <c r="E520" s="266"/>
      <c r="F520" s="188"/>
      <c r="G520" s="188"/>
    </row>
    <row r="521" spans="1:7" ht="17.25" customHeight="1">
      <c r="A521" s="39">
        <v>1128</v>
      </c>
      <c r="B521" s="59">
        <v>1</v>
      </c>
      <c r="C521" s="59" t="s">
        <v>224</v>
      </c>
      <c r="D521" s="90" t="s">
        <v>616</v>
      </c>
      <c r="E521" s="39">
        <v>52</v>
      </c>
      <c r="F521" s="188"/>
      <c r="G521" s="188"/>
    </row>
    <row r="522" spans="1:7" ht="17.25" customHeight="1">
      <c r="A522" s="39"/>
      <c r="B522" s="266">
        <f>B521</f>
        <v>1</v>
      </c>
      <c r="C522" s="266"/>
      <c r="D522" s="266"/>
      <c r="E522" s="266">
        <f>E521</f>
        <v>52</v>
      </c>
      <c r="F522" s="188"/>
      <c r="G522" s="188"/>
    </row>
    <row r="523" spans="1:7" ht="17.25" customHeight="1">
      <c r="A523" s="266" t="s">
        <v>14</v>
      </c>
      <c r="B523" s="124">
        <f>B511+B519+B522</f>
        <v>107</v>
      </c>
      <c r="C523" s="124"/>
      <c r="D523" s="124"/>
      <c r="E523" s="124">
        <f>E511+E519+E522</f>
        <v>11118</v>
      </c>
      <c r="F523" s="188"/>
      <c r="G523" s="188"/>
    </row>
    <row r="524" spans="1:7" ht="17.25" customHeight="1">
      <c r="A524" s="267"/>
      <c r="B524" s="125"/>
      <c r="C524" s="126"/>
      <c r="D524" s="124"/>
      <c r="E524" s="124"/>
      <c r="F524" s="188"/>
      <c r="G524" s="188"/>
    </row>
    <row r="525" spans="1:7" ht="27.75" customHeight="1">
      <c r="A525" s="301" t="s">
        <v>633</v>
      </c>
      <c r="B525" s="302"/>
      <c r="C525" s="302"/>
      <c r="D525" s="302"/>
      <c r="E525" s="302"/>
      <c r="F525" s="188"/>
      <c r="G525" s="188"/>
    </row>
    <row r="526" spans="1:7" ht="27" customHeight="1">
      <c r="A526" s="39" t="s">
        <v>211</v>
      </c>
      <c r="B526" s="39" t="s">
        <v>212</v>
      </c>
      <c r="C526" s="39" t="s">
        <v>213</v>
      </c>
      <c r="D526" s="39" t="s">
        <v>214</v>
      </c>
      <c r="E526" s="38" t="s">
        <v>215</v>
      </c>
      <c r="F526" s="188"/>
      <c r="G526" s="188"/>
    </row>
    <row r="527" spans="1:7" ht="17.25" customHeight="1">
      <c r="A527" s="303" t="s">
        <v>222</v>
      </c>
      <c r="B527" s="304"/>
      <c r="C527" s="305"/>
      <c r="D527" s="39"/>
      <c r="E527" s="38"/>
      <c r="F527" s="188"/>
      <c r="G527" s="188"/>
    </row>
    <row r="528" spans="1:7" ht="17.25" customHeight="1">
      <c r="A528" s="39" t="s">
        <v>618</v>
      </c>
      <c r="B528" s="44">
        <v>2</v>
      </c>
      <c r="C528" s="44" t="s">
        <v>224</v>
      </c>
      <c r="D528" s="44" t="s">
        <v>619</v>
      </c>
      <c r="E528" s="44">
        <v>166</v>
      </c>
      <c r="F528" s="188"/>
      <c r="G528" s="188"/>
    </row>
    <row r="529" spans="1:7" ht="17.25" customHeight="1">
      <c r="A529" s="39" t="s">
        <v>620</v>
      </c>
      <c r="B529" s="44">
        <v>2</v>
      </c>
      <c r="C529" s="44" t="s">
        <v>227</v>
      </c>
      <c r="D529" s="44" t="s">
        <v>621</v>
      </c>
      <c r="E529" s="44">
        <v>212</v>
      </c>
      <c r="F529" s="188"/>
      <c r="G529" s="188"/>
    </row>
    <row r="530" spans="1:7" ht="17.25" customHeight="1">
      <c r="A530" s="39"/>
      <c r="B530" s="266">
        <f>SUM(B528:B529)</f>
        <v>4</v>
      </c>
      <c r="C530" s="266"/>
      <c r="D530" s="266"/>
      <c r="E530" s="266">
        <f>SUM(E528:E529)</f>
        <v>378</v>
      </c>
      <c r="F530" s="188"/>
      <c r="G530" s="188"/>
    </row>
    <row r="531" spans="1:7" ht="17.25" customHeight="1">
      <c r="A531" s="303" t="s">
        <v>216</v>
      </c>
      <c r="B531" s="304"/>
      <c r="C531" s="305"/>
      <c r="D531" s="39"/>
      <c r="E531" s="38"/>
      <c r="F531" s="188"/>
      <c r="G531" s="188"/>
    </row>
    <row r="532" spans="1:7" ht="17.25" customHeight="1">
      <c r="A532" s="39" t="s">
        <v>622</v>
      </c>
      <c r="B532" s="44">
        <v>2</v>
      </c>
      <c r="C532" s="107" t="s">
        <v>239</v>
      </c>
      <c r="D532" s="103" t="s">
        <v>623</v>
      </c>
      <c r="E532" s="103">
        <v>420</v>
      </c>
      <c r="F532" s="188"/>
      <c r="G532" s="188"/>
    </row>
    <row r="533" spans="1:7" ht="17.25" customHeight="1">
      <c r="A533" s="39" t="s">
        <v>622</v>
      </c>
      <c r="B533" s="44">
        <v>2</v>
      </c>
      <c r="C533" s="107" t="s">
        <v>242</v>
      </c>
      <c r="D533" s="103" t="s">
        <v>624</v>
      </c>
      <c r="E533" s="103">
        <v>577</v>
      </c>
      <c r="F533" s="188"/>
      <c r="G533" s="188"/>
    </row>
    <row r="534" spans="1:7" ht="17.25" customHeight="1">
      <c r="A534" s="39" t="s">
        <v>625</v>
      </c>
      <c r="B534" s="44">
        <v>1</v>
      </c>
      <c r="C534" s="107" t="s">
        <v>231</v>
      </c>
      <c r="D534" s="39" t="s">
        <v>243</v>
      </c>
      <c r="E534" s="103">
        <v>115</v>
      </c>
      <c r="F534" s="188"/>
      <c r="G534" s="188"/>
    </row>
    <row r="535" spans="1:7" ht="17.25" customHeight="1">
      <c r="A535" s="39"/>
      <c r="B535" s="266">
        <f>SUM(B532:B534)</f>
        <v>5</v>
      </c>
      <c r="C535" s="266"/>
      <c r="D535" s="266"/>
      <c r="E535" s="266">
        <f>SUM(E532:E534)</f>
        <v>1112</v>
      </c>
      <c r="F535" s="188"/>
      <c r="G535" s="188"/>
    </row>
    <row r="536" spans="1:7" ht="17.25" customHeight="1">
      <c r="A536" s="266" t="s">
        <v>14</v>
      </c>
      <c r="B536" s="124">
        <f>B530+B535</f>
        <v>9</v>
      </c>
      <c r="C536" s="124"/>
      <c r="D536" s="124"/>
      <c r="E536" s="124">
        <f>E530+E535</f>
        <v>1490</v>
      </c>
      <c r="F536" s="188"/>
      <c r="G536" s="188"/>
    </row>
    <row r="537" spans="1:7" ht="17.25" customHeight="1">
      <c r="A537" s="267"/>
      <c r="B537" s="125"/>
      <c r="C537" s="126"/>
      <c r="D537" s="124"/>
      <c r="E537" s="124"/>
      <c r="F537" s="188"/>
      <c r="G537" s="188"/>
    </row>
    <row r="538" spans="1:7" ht="30.75" customHeight="1">
      <c r="A538" s="301" t="s">
        <v>634</v>
      </c>
      <c r="B538" s="302"/>
      <c r="C538" s="302"/>
      <c r="D538" s="302"/>
      <c r="E538" s="302"/>
      <c r="F538" s="188"/>
      <c r="G538" s="188"/>
    </row>
    <row r="539" spans="1:7" ht="28.5" customHeight="1">
      <c r="A539" s="39" t="s">
        <v>211</v>
      </c>
      <c r="B539" s="39" t="s">
        <v>212</v>
      </c>
      <c r="C539" s="39" t="s">
        <v>213</v>
      </c>
      <c r="D539" s="39" t="s">
        <v>214</v>
      </c>
      <c r="E539" s="38" t="s">
        <v>215</v>
      </c>
      <c r="F539" s="188"/>
      <c r="G539" s="188"/>
    </row>
    <row r="540" spans="1:7" ht="17.25" customHeight="1">
      <c r="A540" s="303" t="s">
        <v>222</v>
      </c>
      <c r="B540" s="304"/>
      <c r="C540" s="305"/>
      <c r="D540" s="39"/>
      <c r="E540" s="38"/>
      <c r="F540" s="188"/>
      <c r="G540" s="188"/>
    </row>
    <row r="541" spans="1:7" ht="17.25" customHeight="1">
      <c r="A541" s="69">
        <v>770</v>
      </c>
      <c r="B541" s="39">
        <v>3</v>
      </c>
      <c r="C541" s="39" t="s">
        <v>224</v>
      </c>
      <c r="D541" s="39" t="s">
        <v>626</v>
      </c>
      <c r="E541" s="39">
        <v>216</v>
      </c>
      <c r="F541" s="188"/>
      <c r="G541" s="188"/>
    </row>
    <row r="542" spans="1:7" ht="27.75" customHeight="1">
      <c r="A542" s="39">
        <v>771</v>
      </c>
      <c r="B542" s="39">
        <v>20</v>
      </c>
      <c r="C542" s="39" t="s">
        <v>227</v>
      </c>
      <c r="D542" s="39" t="s">
        <v>627</v>
      </c>
      <c r="E542" s="39">
        <v>2098</v>
      </c>
      <c r="F542" s="188"/>
      <c r="G542" s="188"/>
    </row>
    <row r="543" spans="1:7" ht="17.25" customHeight="1">
      <c r="A543" s="39"/>
      <c r="B543" s="266">
        <f>SUM(B541:B542)</f>
        <v>23</v>
      </c>
      <c r="C543" s="266"/>
      <c r="D543" s="266"/>
      <c r="E543" s="266">
        <f>SUM(E541:E542)</f>
        <v>2314</v>
      </c>
      <c r="F543" s="188"/>
      <c r="G543" s="188"/>
    </row>
    <row r="544" spans="1:7" ht="17.25" customHeight="1">
      <c r="A544" s="303" t="s">
        <v>216</v>
      </c>
      <c r="B544" s="304"/>
      <c r="C544" s="305"/>
      <c r="D544" s="39"/>
      <c r="E544" s="38"/>
      <c r="F544" s="188"/>
      <c r="G544" s="188"/>
    </row>
    <row r="545" spans="1:7" ht="17.25" customHeight="1">
      <c r="A545" s="39">
        <v>774</v>
      </c>
      <c r="B545" s="59">
        <v>2</v>
      </c>
      <c r="C545" s="131" t="s">
        <v>231</v>
      </c>
      <c r="D545" s="181" t="s">
        <v>628</v>
      </c>
      <c r="E545" s="39">
        <v>203</v>
      </c>
      <c r="F545" s="188"/>
      <c r="G545" s="188"/>
    </row>
    <row r="546" spans="1:7" ht="17.25" customHeight="1">
      <c r="A546" s="39">
        <v>775</v>
      </c>
      <c r="B546" s="181">
        <v>3</v>
      </c>
      <c r="C546" s="131" t="s">
        <v>239</v>
      </c>
      <c r="D546" s="181" t="s">
        <v>629</v>
      </c>
      <c r="E546" s="181">
        <v>607</v>
      </c>
      <c r="F546" s="188"/>
      <c r="G546" s="188"/>
    </row>
    <row r="547" spans="1:7" ht="17.25" customHeight="1">
      <c r="A547" s="39">
        <v>776</v>
      </c>
      <c r="B547" s="39">
        <v>2</v>
      </c>
      <c r="C547" s="131" t="s">
        <v>242</v>
      </c>
      <c r="D547" s="39" t="s">
        <v>630</v>
      </c>
      <c r="E547" s="39">
        <v>542</v>
      </c>
      <c r="F547" s="188"/>
      <c r="G547" s="188"/>
    </row>
    <row r="548" spans="1:7" ht="17.25" customHeight="1">
      <c r="A548" s="44">
        <v>772</v>
      </c>
      <c r="B548" s="103">
        <v>15</v>
      </c>
      <c r="C548" s="103" t="s">
        <v>217</v>
      </c>
      <c r="D548" s="103" t="s">
        <v>631</v>
      </c>
      <c r="E548" s="103">
        <v>1093</v>
      </c>
      <c r="F548" s="188"/>
      <c r="G548" s="188"/>
    </row>
    <row r="549" spans="1:7" ht="17.25" customHeight="1">
      <c r="A549" s="44">
        <v>773</v>
      </c>
      <c r="B549" s="103">
        <v>3</v>
      </c>
      <c r="C549" s="103" t="s">
        <v>236</v>
      </c>
      <c r="D549" s="103" t="s">
        <v>632</v>
      </c>
      <c r="E549" s="103">
        <v>240</v>
      </c>
      <c r="F549" s="188"/>
      <c r="G549" s="188"/>
    </row>
    <row r="550" spans="1:7" ht="17.25" customHeight="1">
      <c r="A550" s="39"/>
      <c r="B550" s="266">
        <f>SUM(B545:B549)</f>
        <v>25</v>
      </c>
      <c r="C550" s="266"/>
      <c r="D550" s="266"/>
      <c r="E550" s="266">
        <f>SUM(E545:E549)</f>
        <v>2685</v>
      </c>
      <c r="F550" s="188"/>
      <c r="G550" s="188"/>
    </row>
    <row r="551" spans="1:7" ht="17.25" customHeight="1">
      <c r="A551" s="266" t="s">
        <v>14</v>
      </c>
      <c r="B551" s="124">
        <f>B543+B550</f>
        <v>48</v>
      </c>
      <c r="C551" s="124"/>
      <c r="D551" s="124"/>
      <c r="E551" s="124">
        <f>E543+E550</f>
        <v>4999</v>
      </c>
      <c r="F551" s="188"/>
      <c r="G551" s="188"/>
    </row>
    <row r="552" spans="1:7" ht="17.25" customHeight="1">
      <c r="A552" s="267"/>
      <c r="B552" s="125"/>
      <c r="C552" s="126"/>
      <c r="D552" s="124"/>
      <c r="E552" s="124"/>
      <c r="F552" s="188"/>
      <c r="G552" s="188"/>
    </row>
    <row r="553" spans="1:7" ht="31.5" customHeight="1">
      <c r="A553" s="301" t="s">
        <v>652</v>
      </c>
      <c r="B553" s="302"/>
      <c r="C553" s="302"/>
      <c r="D553" s="302"/>
      <c r="E553" s="302"/>
      <c r="F553" s="188"/>
      <c r="G553" s="188"/>
    </row>
    <row r="554" spans="1:7" ht="24" customHeight="1">
      <c r="A554" s="39" t="s">
        <v>211</v>
      </c>
      <c r="B554" s="39" t="s">
        <v>212</v>
      </c>
      <c r="C554" s="39" t="s">
        <v>213</v>
      </c>
      <c r="D554" s="39" t="s">
        <v>214</v>
      </c>
      <c r="E554" s="38" t="s">
        <v>215</v>
      </c>
      <c r="F554" s="188"/>
      <c r="G554" s="188"/>
    </row>
    <row r="555" spans="1:7" ht="17.25" customHeight="1">
      <c r="A555" s="303" t="s">
        <v>222</v>
      </c>
      <c r="B555" s="304"/>
      <c r="C555" s="305"/>
      <c r="D555" s="39"/>
      <c r="E555" s="38"/>
      <c r="F555" s="188"/>
      <c r="G555" s="188"/>
    </row>
    <row r="556" spans="1:7" ht="17.25" customHeight="1">
      <c r="A556" s="59">
        <v>444</v>
      </c>
      <c r="B556" s="59">
        <v>11</v>
      </c>
      <c r="C556" s="59" t="s">
        <v>227</v>
      </c>
      <c r="D556" s="90" t="s">
        <v>635</v>
      </c>
      <c r="E556" s="59">
        <v>1303</v>
      </c>
      <c r="F556" s="188"/>
      <c r="G556" s="188"/>
    </row>
    <row r="557" spans="1:7" ht="17.25" customHeight="1">
      <c r="A557" s="39"/>
      <c r="B557" s="266">
        <f>SUM(B556:B556)</f>
        <v>11</v>
      </c>
      <c r="C557" s="266"/>
      <c r="D557" s="266"/>
      <c r="E557" s="266">
        <f>SUM(E556:E556)</f>
        <v>1303</v>
      </c>
      <c r="F557" s="188"/>
      <c r="G557" s="188"/>
    </row>
    <row r="558" spans="1:7" ht="17.25" customHeight="1">
      <c r="A558" s="303" t="s">
        <v>216</v>
      </c>
      <c r="B558" s="304"/>
      <c r="C558" s="305"/>
      <c r="D558" s="39"/>
      <c r="E558" s="38"/>
      <c r="F558" s="188"/>
      <c r="G558" s="188"/>
    </row>
    <row r="559" spans="1:7" ht="17.25" customHeight="1">
      <c r="A559" s="39">
        <v>441</v>
      </c>
      <c r="B559" s="181">
        <v>1</v>
      </c>
      <c r="C559" s="181" t="s">
        <v>227</v>
      </c>
      <c r="D559" s="181" t="s">
        <v>326</v>
      </c>
      <c r="E559" s="181">
        <v>104</v>
      </c>
      <c r="F559" s="188"/>
      <c r="G559" s="188"/>
    </row>
    <row r="560" spans="1:7" ht="17.25" customHeight="1">
      <c r="A560" s="39">
        <v>442</v>
      </c>
      <c r="B560" s="181">
        <v>1</v>
      </c>
      <c r="C560" s="251" t="s">
        <v>231</v>
      </c>
      <c r="D560" s="181" t="s">
        <v>326</v>
      </c>
      <c r="E560" s="181">
        <v>124</v>
      </c>
      <c r="F560" s="188"/>
      <c r="G560" s="188"/>
    </row>
    <row r="561" spans="1:7" ht="17.25" customHeight="1">
      <c r="A561" s="39">
        <v>442</v>
      </c>
      <c r="B561" s="181">
        <v>1</v>
      </c>
      <c r="C561" s="251" t="s">
        <v>242</v>
      </c>
      <c r="D561" s="181" t="s">
        <v>636</v>
      </c>
      <c r="E561" s="181">
        <v>321</v>
      </c>
      <c r="F561" s="188"/>
      <c r="G561" s="188"/>
    </row>
    <row r="562" spans="1:7" ht="30" customHeight="1">
      <c r="A562" s="39">
        <v>443</v>
      </c>
      <c r="B562" s="181">
        <v>25</v>
      </c>
      <c r="C562" s="251" t="s">
        <v>231</v>
      </c>
      <c r="D562" s="181" t="s">
        <v>637</v>
      </c>
      <c r="E562" s="181">
        <v>3179</v>
      </c>
      <c r="F562" s="188"/>
      <c r="G562" s="188"/>
    </row>
    <row r="563" spans="1:7" ht="17.25" customHeight="1">
      <c r="A563" s="39" t="s">
        <v>638</v>
      </c>
      <c r="B563" s="181">
        <v>25</v>
      </c>
      <c r="C563" s="251" t="s">
        <v>231</v>
      </c>
      <c r="D563" s="181" t="s">
        <v>639</v>
      </c>
      <c r="E563" s="181">
        <v>3206</v>
      </c>
      <c r="F563" s="188"/>
      <c r="G563" s="188"/>
    </row>
    <row r="564" spans="1:7" ht="27.75" customHeight="1">
      <c r="A564" s="59" t="s">
        <v>640</v>
      </c>
      <c r="B564" s="203">
        <v>25</v>
      </c>
      <c r="C564" s="131" t="s">
        <v>231</v>
      </c>
      <c r="D564" s="262" t="s">
        <v>641</v>
      </c>
      <c r="E564" s="203">
        <v>3236</v>
      </c>
      <c r="F564" s="188"/>
      <c r="G564" s="188"/>
    </row>
    <row r="565" spans="1:7" ht="17.25" customHeight="1">
      <c r="A565" s="59">
        <v>440</v>
      </c>
      <c r="B565" s="203">
        <v>6</v>
      </c>
      <c r="C565" s="203" t="s">
        <v>227</v>
      </c>
      <c r="D565" s="103" t="s">
        <v>497</v>
      </c>
      <c r="E565" s="204">
        <v>540</v>
      </c>
      <c r="F565" s="188"/>
      <c r="G565" s="188"/>
    </row>
    <row r="566" spans="1:7" ht="17.25" customHeight="1">
      <c r="A566" s="39"/>
      <c r="B566" s="266">
        <f>SUM(B559:B565)</f>
        <v>84</v>
      </c>
      <c r="C566" s="266"/>
      <c r="D566" s="266"/>
      <c r="E566" s="266">
        <f>SUM(E559:E565)</f>
        <v>10710</v>
      </c>
      <c r="F566" s="188"/>
      <c r="G566" s="188"/>
    </row>
    <row r="567" spans="1:7" ht="17.25" customHeight="1">
      <c r="A567" s="303" t="s">
        <v>228</v>
      </c>
      <c r="B567" s="304"/>
      <c r="C567" s="305"/>
      <c r="D567" s="266"/>
      <c r="E567" s="266"/>
      <c r="F567" s="188"/>
      <c r="G567" s="188"/>
    </row>
    <row r="568" spans="1:7" ht="17.25" customHeight="1">
      <c r="A568" s="59">
        <v>444</v>
      </c>
      <c r="B568" s="203">
        <v>1</v>
      </c>
      <c r="C568" s="203" t="s">
        <v>224</v>
      </c>
      <c r="D568" s="283" t="s">
        <v>325</v>
      </c>
      <c r="E568" s="203">
        <v>61</v>
      </c>
      <c r="F568" s="188"/>
      <c r="G568" s="188"/>
    </row>
    <row r="569" spans="1:7" ht="17.25" customHeight="1">
      <c r="A569" s="39"/>
      <c r="B569" s="266">
        <f>B568</f>
        <v>1</v>
      </c>
      <c r="C569" s="266"/>
      <c r="D569" s="266"/>
      <c r="E569" s="266">
        <f>E568</f>
        <v>61</v>
      </c>
      <c r="F569" s="188"/>
      <c r="G569" s="188"/>
    </row>
    <row r="570" spans="1:7" ht="17.25" customHeight="1">
      <c r="A570" s="266" t="s">
        <v>14</v>
      </c>
      <c r="B570" s="124">
        <f>B557+B566+B569</f>
        <v>96</v>
      </c>
      <c r="C570" s="124"/>
      <c r="D570" s="124"/>
      <c r="E570" s="124">
        <f>E557+E566+E569</f>
        <v>12074</v>
      </c>
      <c r="F570" s="188"/>
      <c r="G570" s="188"/>
    </row>
    <row r="571" spans="1:7" ht="17.25" customHeight="1">
      <c r="A571" s="267"/>
      <c r="B571" s="125"/>
      <c r="C571" s="126"/>
      <c r="D571" s="124"/>
      <c r="E571" s="124"/>
      <c r="F571" s="188"/>
      <c r="G571" s="188"/>
    </row>
    <row r="572" spans="1:7" ht="29.25" customHeight="1">
      <c r="A572" s="301" t="s">
        <v>653</v>
      </c>
      <c r="B572" s="302"/>
      <c r="C572" s="302"/>
      <c r="D572" s="302"/>
      <c r="E572" s="302"/>
      <c r="F572" s="188"/>
      <c r="G572" s="188"/>
    </row>
    <row r="573" spans="1:7" ht="27" customHeight="1">
      <c r="A573" s="39" t="s">
        <v>211</v>
      </c>
      <c r="B573" s="39" t="s">
        <v>212</v>
      </c>
      <c r="C573" s="39" t="s">
        <v>213</v>
      </c>
      <c r="D573" s="39" t="s">
        <v>214</v>
      </c>
      <c r="E573" s="38" t="s">
        <v>215</v>
      </c>
      <c r="F573" s="188"/>
      <c r="G573" s="188"/>
    </row>
    <row r="574" spans="1:7" ht="17.25" customHeight="1">
      <c r="A574" s="303" t="s">
        <v>222</v>
      </c>
      <c r="B574" s="304"/>
      <c r="C574" s="305"/>
      <c r="D574" s="39"/>
      <c r="E574" s="38"/>
      <c r="F574" s="188"/>
      <c r="G574" s="188"/>
    </row>
    <row r="575" spans="1:7" ht="17.25" customHeight="1">
      <c r="A575" s="44" t="s">
        <v>684</v>
      </c>
      <c r="B575" s="59">
        <v>6</v>
      </c>
      <c r="C575" s="59" t="s">
        <v>223</v>
      </c>
      <c r="D575" s="90" t="s">
        <v>642</v>
      </c>
      <c r="E575" s="69">
        <v>373</v>
      </c>
      <c r="F575" s="188"/>
      <c r="G575" s="188"/>
    </row>
    <row r="576" spans="1:7" ht="17.25" customHeight="1">
      <c r="A576" s="39" t="s">
        <v>685</v>
      </c>
      <c r="B576" s="39">
        <v>6</v>
      </c>
      <c r="C576" s="39" t="s">
        <v>224</v>
      </c>
      <c r="D576" s="39" t="s">
        <v>643</v>
      </c>
      <c r="E576" s="39">
        <v>468</v>
      </c>
      <c r="F576" s="188"/>
      <c r="G576" s="188"/>
    </row>
    <row r="577" spans="1:7" ht="17.25" customHeight="1">
      <c r="A577" s="39" t="s">
        <v>686</v>
      </c>
      <c r="B577" s="39">
        <v>1</v>
      </c>
      <c r="C577" s="39" t="s">
        <v>227</v>
      </c>
      <c r="D577" s="39" t="s">
        <v>644</v>
      </c>
      <c r="E577" s="39">
        <v>109</v>
      </c>
      <c r="F577" s="188"/>
      <c r="G577" s="188"/>
    </row>
    <row r="578" spans="1:7" ht="17.25" customHeight="1">
      <c r="A578" s="39"/>
      <c r="B578" s="268">
        <f>SUM(B575:B577)</f>
        <v>13</v>
      </c>
      <c r="C578" s="268"/>
      <c r="D578" s="268"/>
      <c r="E578" s="268">
        <f>SUM(E575:E577)</f>
        <v>950</v>
      </c>
      <c r="F578" s="188"/>
      <c r="G578" s="188"/>
    </row>
    <row r="579" spans="1:7" ht="17.25" customHeight="1">
      <c r="A579" s="303" t="s">
        <v>216</v>
      </c>
      <c r="B579" s="304"/>
      <c r="C579" s="305"/>
      <c r="D579" s="39"/>
      <c r="E579" s="38"/>
      <c r="F579" s="188"/>
      <c r="G579" s="188"/>
    </row>
    <row r="580" spans="1:7" ht="17.25" customHeight="1">
      <c r="A580" s="39" t="s">
        <v>687</v>
      </c>
      <c r="B580" s="59">
        <v>5</v>
      </c>
      <c r="C580" s="39" t="s">
        <v>223</v>
      </c>
      <c r="D580" s="59" t="s">
        <v>645</v>
      </c>
      <c r="E580" s="39">
        <v>258</v>
      </c>
      <c r="F580" s="188"/>
      <c r="G580" s="188"/>
    </row>
    <row r="581" spans="1:7" ht="17.25" customHeight="1">
      <c r="A581" s="39" t="s">
        <v>688</v>
      </c>
      <c r="B581" s="39">
        <v>2</v>
      </c>
      <c r="C581" s="251" t="s">
        <v>242</v>
      </c>
      <c r="D581" s="39" t="s">
        <v>646</v>
      </c>
      <c r="E581" s="39">
        <v>640</v>
      </c>
      <c r="F581" s="188"/>
      <c r="G581" s="188"/>
    </row>
    <row r="582" spans="1:7" ht="30.75" customHeight="1">
      <c r="A582" s="39" t="s">
        <v>689</v>
      </c>
      <c r="B582" s="39">
        <v>31</v>
      </c>
      <c r="C582" s="251" t="s">
        <v>647</v>
      </c>
      <c r="D582" s="39" t="s">
        <v>651</v>
      </c>
      <c r="E582" s="39">
        <v>4725</v>
      </c>
      <c r="F582" s="188"/>
      <c r="G582" s="188"/>
    </row>
    <row r="583" spans="1:7" ht="17.25" customHeight="1">
      <c r="A583" s="39" t="s">
        <v>690</v>
      </c>
      <c r="B583" s="39">
        <v>1</v>
      </c>
      <c r="C583" s="39" t="s">
        <v>223</v>
      </c>
      <c r="D583" s="39" t="s">
        <v>649</v>
      </c>
      <c r="E583" s="39">
        <v>52</v>
      </c>
      <c r="F583" s="188"/>
      <c r="G583" s="188"/>
    </row>
    <row r="584" spans="1:7" ht="17.25" customHeight="1">
      <c r="A584" s="39" t="s">
        <v>691</v>
      </c>
      <c r="B584" s="39">
        <v>2</v>
      </c>
      <c r="C584" s="39" t="s">
        <v>224</v>
      </c>
      <c r="D584" s="39" t="s">
        <v>650</v>
      </c>
      <c r="E584" s="39">
        <v>104</v>
      </c>
      <c r="F584" s="188"/>
      <c r="G584" s="188"/>
    </row>
    <row r="585" spans="1:7" ht="17.25" customHeight="1">
      <c r="A585" s="39"/>
      <c r="B585" s="268">
        <f>SUM(B580:B584)</f>
        <v>41</v>
      </c>
      <c r="C585" s="268"/>
      <c r="D585" s="268"/>
      <c r="E585" s="268">
        <f>SUM(E580:E584)</f>
        <v>5779</v>
      </c>
      <c r="F585" s="188"/>
      <c r="G585" s="188"/>
    </row>
    <row r="586" spans="1:7" ht="17.25" customHeight="1">
      <c r="A586" s="303" t="s">
        <v>228</v>
      </c>
      <c r="B586" s="304"/>
      <c r="C586" s="305"/>
      <c r="D586" s="268"/>
      <c r="E586" s="268"/>
      <c r="F586" s="188"/>
      <c r="G586" s="188"/>
    </row>
    <row r="587" spans="1:7" ht="17.25" customHeight="1">
      <c r="A587" s="39" t="s">
        <v>692</v>
      </c>
      <c r="B587" s="59">
        <v>4</v>
      </c>
      <c r="C587" s="59" t="s">
        <v>224</v>
      </c>
      <c r="D587" s="59" t="s">
        <v>648</v>
      </c>
      <c r="E587" s="39">
        <v>252</v>
      </c>
      <c r="F587" s="188"/>
      <c r="G587" s="188"/>
    </row>
    <row r="588" spans="1:7" ht="17.25" customHeight="1">
      <c r="A588" s="39"/>
      <c r="B588" s="268">
        <f>B587</f>
        <v>4</v>
      </c>
      <c r="C588" s="268"/>
      <c r="D588" s="268"/>
      <c r="E588" s="268">
        <f>E587</f>
        <v>252</v>
      </c>
      <c r="F588" s="188"/>
      <c r="G588" s="188"/>
    </row>
    <row r="589" spans="1:7" ht="17.25" customHeight="1">
      <c r="A589" s="268" t="s">
        <v>14</v>
      </c>
      <c r="B589" s="124">
        <f>B578+B585+B588</f>
        <v>58</v>
      </c>
      <c r="C589" s="124"/>
      <c r="D589" s="124"/>
      <c r="E589" s="124">
        <f>E578+E585+E588</f>
        <v>6981</v>
      </c>
      <c r="F589" s="188"/>
      <c r="G589" s="188"/>
    </row>
    <row r="590" spans="1:7" ht="17.25" customHeight="1">
      <c r="A590" s="267"/>
      <c r="B590" s="125"/>
      <c r="C590" s="126"/>
      <c r="D590" s="124"/>
      <c r="E590" s="124"/>
      <c r="F590" s="188"/>
      <c r="G590" s="188"/>
    </row>
    <row r="591" spans="1:7" ht="30" customHeight="1">
      <c r="A591" s="301" t="s">
        <v>654</v>
      </c>
      <c r="B591" s="302"/>
      <c r="C591" s="302"/>
      <c r="D591" s="302"/>
      <c r="E591" s="302"/>
      <c r="F591" s="188"/>
      <c r="G591" s="188"/>
    </row>
    <row r="592" spans="1:7" ht="26.25" customHeight="1">
      <c r="A592" s="39" t="s">
        <v>211</v>
      </c>
      <c r="B592" s="39" t="s">
        <v>212</v>
      </c>
      <c r="C592" s="39" t="s">
        <v>213</v>
      </c>
      <c r="D592" s="39" t="s">
        <v>214</v>
      </c>
      <c r="E592" s="38" t="s">
        <v>215</v>
      </c>
      <c r="F592" s="188"/>
      <c r="G592" s="188"/>
    </row>
    <row r="593" spans="1:7" ht="17.25" customHeight="1">
      <c r="A593" s="303" t="s">
        <v>216</v>
      </c>
      <c r="B593" s="304"/>
      <c r="C593" s="305"/>
      <c r="D593" s="39"/>
      <c r="E593" s="38"/>
      <c r="F593" s="188"/>
      <c r="G593" s="188"/>
    </row>
    <row r="594" spans="1:7" ht="17.25" customHeight="1">
      <c r="A594" s="135">
        <v>1305</v>
      </c>
      <c r="B594" s="59">
        <v>19</v>
      </c>
      <c r="C594" s="39" t="s">
        <v>217</v>
      </c>
      <c r="D594" s="39" t="s">
        <v>359</v>
      </c>
      <c r="E594" s="59">
        <v>1069</v>
      </c>
      <c r="F594" s="188"/>
      <c r="G594" s="188"/>
    </row>
    <row r="595" spans="1:7" ht="17.25" customHeight="1">
      <c r="A595" s="223">
        <v>1306</v>
      </c>
      <c r="B595" s="90">
        <v>4</v>
      </c>
      <c r="C595" s="39" t="s">
        <v>236</v>
      </c>
      <c r="D595" s="39" t="s">
        <v>486</v>
      </c>
      <c r="E595" s="90">
        <v>416</v>
      </c>
      <c r="F595" s="188"/>
      <c r="G595" s="188"/>
    </row>
    <row r="596" spans="1:7" ht="17.25" customHeight="1">
      <c r="A596" s="223">
        <v>1307</v>
      </c>
      <c r="B596" s="90">
        <v>3</v>
      </c>
      <c r="C596" s="39" t="s">
        <v>235</v>
      </c>
      <c r="D596" s="39" t="s">
        <v>238</v>
      </c>
      <c r="E596" s="90">
        <v>111</v>
      </c>
      <c r="F596" s="188"/>
      <c r="G596" s="188"/>
    </row>
    <row r="597" spans="1:7" ht="17.25" customHeight="1">
      <c r="A597" s="39"/>
      <c r="B597" s="268">
        <f>SUM(B594:B596)</f>
        <v>26</v>
      </c>
      <c r="C597" s="268"/>
      <c r="D597" s="268"/>
      <c r="E597" s="268">
        <f>SUM(E594:E596)</f>
        <v>1596</v>
      </c>
      <c r="F597" s="188"/>
      <c r="G597" s="188"/>
    </row>
    <row r="598" spans="1:7" ht="17.25" customHeight="1">
      <c r="A598" s="303" t="s">
        <v>229</v>
      </c>
      <c r="B598" s="304"/>
      <c r="C598" s="305"/>
      <c r="D598" s="268"/>
      <c r="E598" s="268"/>
      <c r="F598" s="188"/>
      <c r="G598" s="188"/>
    </row>
    <row r="599" spans="1:7" ht="17.25" customHeight="1">
      <c r="A599" s="223">
        <v>1308</v>
      </c>
      <c r="B599" s="90">
        <v>4</v>
      </c>
      <c r="C599" s="39" t="s">
        <v>217</v>
      </c>
      <c r="D599" s="39" t="s">
        <v>486</v>
      </c>
      <c r="E599" s="90">
        <v>75</v>
      </c>
      <c r="F599" s="188"/>
      <c r="G599" s="188"/>
    </row>
    <row r="600" spans="1:7" ht="17.25" customHeight="1">
      <c r="A600" s="39"/>
      <c r="B600" s="268">
        <f>B599</f>
        <v>4</v>
      </c>
      <c r="C600" s="268"/>
      <c r="D600" s="268"/>
      <c r="E600" s="268">
        <f>E599</f>
        <v>75</v>
      </c>
      <c r="F600" s="188"/>
      <c r="G600" s="188"/>
    </row>
    <row r="601" spans="1:7" ht="17.25" customHeight="1">
      <c r="A601" s="268" t="s">
        <v>14</v>
      </c>
      <c r="B601" s="124">
        <f>B597+B600</f>
        <v>30</v>
      </c>
      <c r="C601" s="124"/>
      <c r="D601" s="124"/>
      <c r="E601" s="124">
        <f>E597+E600</f>
        <v>1671</v>
      </c>
      <c r="F601" s="188"/>
      <c r="G601" s="188"/>
    </row>
    <row r="602" spans="1:7" ht="17.25" customHeight="1">
      <c r="A602" s="269"/>
      <c r="B602" s="125"/>
      <c r="C602" s="126"/>
      <c r="D602" s="124"/>
      <c r="E602" s="124"/>
      <c r="F602" s="188"/>
      <c r="G602" s="188"/>
    </row>
    <row r="603" spans="1:7" ht="27" customHeight="1">
      <c r="A603" s="301" t="s">
        <v>658</v>
      </c>
      <c r="B603" s="302"/>
      <c r="C603" s="302"/>
      <c r="D603" s="302"/>
      <c r="E603" s="302"/>
      <c r="F603" s="188"/>
      <c r="G603" s="188"/>
    </row>
    <row r="604" spans="1:7" ht="24.75" customHeight="1">
      <c r="A604" s="39" t="s">
        <v>211</v>
      </c>
      <c r="B604" s="39" t="s">
        <v>212</v>
      </c>
      <c r="C604" s="39" t="s">
        <v>213</v>
      </c>
      <c r="D604" s="39" t="s">
        <v>214</v>
      </c>
      <c r="E604" s="38" t="s">
        <v>215</v>
      </c>
      <c r="F604" s="188"/>
      <c r="G604" s="188"/>
    </row>
    <row r="605" spans="1:7" ht="18.75" customHeight="1">
      <c r="A605" s="303" t="s">
        <v>222</v>
      </c>
      <c r="B605" s="304"/>
      <c r="C605" s="305"/>
      <c r="D605" s="39"/>
      <c r="E605" s="38"/>
      <c r="F605" s="188"/>
      <c r="G605" s="188"/>
    </row>
    <row r="606" spans="1:7" ht="17.25" customHeight="1">
      <c r="A606" s="39">
        <v>1031</v>
      </c>
      <c r="B606" s="59">
        <v>1</v>
      </c>
      <c r="C606" s="59" t="s">
        <v>224</v>
      </c>
      <c r="D606" s="59" t="s">
        <v>655</v>
      </c>
      <c r="E606" s="39">
        <v>72</v>
      </c>
      <c r="F606" s="188"/>
      <c r="G606" s="188"/>
    </row>
    <row r="607" spans="1:7" ht="17.25" customHeight="1">
      <c r="A607" s="39">
        <v>1032</v>
      </c>
      <c r="B607" s="59">
        <v>11</v>
      </c>
      <c r="C607" s="39" t="s">
        <v>236</v>
      </c>
      <c r="D607" s="39" t="s">
        <v>656</v>
      </c>
      <c r="E607" s="39">
        <v>1156</v>
      </c>
      <c r="F607" s="188"/>
      <c r="G607" s="188"/>
    </row>
    <row r="608" spans="1:7" ht="17.25" customHeight="1">
      <c r="A608" s="39"/>
      <c r="B608" s="268">
        <f>SUM(B606:B607)</f>
        <v>12</v>
      </c>
      <c r="C608" s="268"/>
      <c r="D608" s="268"/>
      <c r="E608" s="268">
        <f>SUM(E606:E607)</f>
        <v>1228</v>
      </c>
      <c r="F608" s="188"/>
      <c r="G608" s="188"/>
    </row>
    <row r="609" spans="1:7" ht="17.25" customHeight="1">
      <c r="A609" s="303" t="s">
        <v>216</v>
      </c>
      <c r="B609" s="304"/>
      <c r="C609" s="305"/>
      <c r="D609" s="268"/>
      <c r="E609" s="268"/>
      <c r="F609" s="188"/>
      <c r="G609" s="188"/>
    </row>
    <row r="610" spans="1:7" ht="17.25" customHeight="1">
      <c r="A610" s="69">
        <v>1034</v>
      </c>
      <c r="B610" s="90">
        <v>2</v>
      </c>
      <c r="C610" s="69" t="s">
        <v>235</v>
      </c>
      <c r="D610" s="39" t="s">
        <v>294</v>
      </c>
      <c r="E610" s="69">
        <v>70</v>
      </c>
      <c r="F610" s="188"/>
      <c r="G610" s="188"/>
    </row>
    <row r="611" spans="1:7" ht="17.25" customHeight="1">
      <c r="A611" s="69">
        <v>1035</v>
      </c>
      <c r="B611" s="90">
        <v>1</v>
      </c>
      <c r="C611" s="69" t="s">
        <v>235</v>
      </c>
      <c r="D611" s="39" t="s">
        <v>237</v>
      </c>
      <c r="E611" s="69">
        <v>34</v>
      </c>
      <c r="F611" s="188"/>
      <c r="G611" s="188"/>
    </row>
    <row r="612" spans="1:7" ht="17.25" customHeight="1">
      <c r="A612" s="69">
        <v>1036</v>
      </c>
      <c r="B612" s="90">
        <v>20</v>
      </c>
      <c r="C612" s="69" t="s">
        <v>217</v>
      </c>
      <c r="D612" s="39" t="s">
        <v>485</v>
      </c>
      <c r="E612" s="69">
        <v>1684</v>
      </c>
      <c r="F612" s="188"/>
      <c r="G612" s="188"/>
    </row>
    <row r="613" spans="1:7" ht="17.25" customHeight="1">
      <c r="A613" s="69">
        <v>1037</v>
      </c>
      <c r="B613" s="90">
        <v>19</v>
      </c>
      <c r="C613" s="69" t="s">
        <v>217</v>
      </c>
      <c r="D613" s="39" t="s">
        <v>359</v>
      </c>
      <c r="E613" s="69">
        <v>1692</v>
      </c>
      <c r="F613" s="188"/>
      <c r="G613" s="188"/>
    </row>
    <row r="614" spans="1:7" ht="17.25" customHeight="1">
      <c r="A614" s="69">
        <v>1038</v>
      </c>
      <c r="B614" s="90">
        <v>1</v>
      </c>
      <c r="C614" s="69" t="s">
        <v>227</v>
      </c>
      <c r="D614" s="39" t="s">
        <v>237</v>
      </c>
      <c r="E614" s="69">
        <v>90</v>
      </c>
      <c r="F614" s="188"/>
      <c r="G614" s="188"/>
    </row>
    <row r="615" spans="1:7" ht="21" customHeight="1">
      <c r="A615" s="39">
        <v>1039</v>
      </c>
      <c r="B615" s="59">
        <v>10</v>
      </c>
      <c r="C615" s="251" t="s">
        <v>360</v>
      </c>
      <c r="D615" s="39" t="s">
        <v>657</v>
      </c>
      <c r="E615" s="39">
        <v>1772</v>
      </c>
      <c r="F615" s="188"/>
      <c r="G615" s="188"/>
    </row>
    <row r="616" spans="1:7" ht="17.25" customHeight="1">
      <c r="A616" s="21"/>
      <c r="B616" s="277">
        <f>SUM(B610:B615)</f>
        <v>53</v>
      </c>
      <c r="C616" s="277"/>
      <c r="D616" s="277"/>
      <c r="E616" s="277">
        <f>SUM(E610:E615)</f>
        <v>5342</v>
      </c>
      <c r="F616" s="188"/>
      <c r="G616" s="188"/>
    </row>
    <row r="617" spans="1:7" ht="17.25" customHeight="1">
      <c r="A617" s="303" t="s">
        <v>229</v>
      </c>
      <c r="B617" s="304"/>
      <c r="C617" s="305"/>
      <c r="D617" s="268"/>
      <c r="E617" s="268"/>
      <c r="F617" s="188"/>
      <c r="G617" s="188"/>
    </row>
    <row r="618" spans="1:7" ht="17.25" customHeight="1">
      <c r="A618" s="69">
        <v>1033</v>
      </c>
      <c r="B618" s="90">
        <v>1</v>
      </c>
      <c r="C618" s="69" t="s">
        <v>224</v>
      </c>
      <c r="D618" s="39" t="s">
        <v>237</v>
      </c>
      <c r="E618" s="69">
        <v>45</v>
      </c>
      <c r="F618" s="188"/>
      <c r="G618" s="188"/>
    </row>
    <row r="619" spans="1:7" ht="17.25" customHeight="1">
      <c r="A619" s="39"/>
      <c r="B619" s="268">
        <f>B618</f>
        <v>1</v>
      </c>
      <c r="C619" s="268"/>
      <c r="D619" s="268"/>
      <c r="E619" s="268">
        <f>E618</f>
        <v>45</v>
      </c>
      <c r="F619" s="188"/>
      <c r="G619" s="188"/>
    </row>
    <row r="620" spans="1:7" ht="17.25" customHeight="1">
      <c r="A620" s="268" t="s">
        <v>14</v>
      </c>
      <c r="B620" s="124">
        <f>B608+B619+B616</f>
        <v>66</v>
      </c>
      <c r="C620" s="124"/>
      <c r="D620" s="124"/>
      <c r="E620" s="124">
        <f>E608+E619+E616</f>
        <v>6615</v>
      </c>
      <c r="F620" s="188"/>
      <c r="G620" s="188"/>
    </row>
    <row r="621" spans="1:7" ht="17.25" customHeight="1">
      <c r="A621" s="269"/>
      <c r="B621" s="125"/>
      <c r="C621" s="126"/>
      <c r="D621" s="124"/>
      <c r="E621" s="124"/>
      <c r="F621" s="188"/>
      <c r="G621" s="188"/>
    </row>
    <row r="622" spans="1:7" ht="30" customHeight="1">
      <c r="A622" s="301" t="s">
        <v>663</v>
      </c>
      <c r="B622" s="302"/>
      <c r="C622" s="302"/>
      <c r="D622" s="302"/>
      <c r="E622" s="302"/>
      <c r="F622" s="188"/>
      <c r="G622" s="188"/>
    </row>
    <row r="623" spans="1:7" ht="26.25" customHeight="1">
      <c r="A623" s="39" t="s">
        <v>211</v>
      </c>
      <c r="B623" s="39" t="s">
        <v>212</v>
      </c>
      <c r="C623" s="39" t="s">
        <v>213</v>
      </c>
      <c r="D623" s="39" t="s">
        <v>214</v>
      </c>
      <c r="E623" s="38" t="s">
        <v>215</v>
      </c>
      <c r="F623" s="188"/>
      <c r="G623" s="188"/>
    </row>
    <row r="624" spans="1:7" ht="17.25" customHeight="1">
      <c r="A624" s="303" t="s">
        <v>222</v>
      </c>
      <c r="B624" s="304"/>
      <c r="C624" s="305"/>
      <c r="D624" s="39"/>
      <c r="E624" s="38"/>
      <c r="F624" s="188"/>
      <c r="G624" s="188"/>
    </row>
    <row r="625" spans="1:7" ht="17.25" customHeight="1">
      <c r="A625" s="224">
        <v>126</v>
      </c>
      <c r="B625" s="225">
        <v>3</v>
      </c>
      <c r="C625" s="260" t="s">
        <v>217</v>
      </c>
      <c r="D625" s="104" t="s">
        <v>659</v>
      </c>
      <c r="E625" s="176">
        <v>235</v>
      </c>
      <c r="F625" s="188"/>
      <c r="G625" s="188"/>
    </row>
    <row r="626" spans="1:7" ht="17.25" customHeight="1">
      <c r="A626" s="225">
        <v>127</v>
      </c>
      <c r="B626" s="225">
        <v>1</v>
      </c>
      <c r="C626" s="260" t="s">
        <v>236</v>
      </c>
      <c r="D626" s="227" t="s">
        <v>660</v>
      </c>
      <c r="E626" s="260">
        <v>90</v>
      </c>
      <c r="F626" s="188"/>
      <c r="G626" s="188"/>
    </row>
    <row r="627" spans="1:7" ht="17.25" customHeight="1">
      <c r="A627" s="110">
        <v>131</v>
      </c>
      <c r="B627" s="111">
        <v>4</v>
      </c>
      <c r="C627" s="112" t="s">
        <v>223</v>
      </c>
      <c r="D627" s="103" t="s">
        <v>661</v>
      </c>
      <c r="E627" s="103">
        <v>210</v>
      </c>
      <c r="F627" s="188"/>
      <c r="G627" s="188"/>
    </row>
    <row r="628" spans="1:7" ht="17.25" customHeight="1">
      <c r="A628" s="39"/>
      <c r="B628" s="268">
        <f>SUM(B625:B627)</f>
        <v>8</v>
      </c>
      <c r="C628" s="268"/>
      <c r="D628" s="268"/>
      <c r="E628" s="268">
        <f>SUM(E625:E627)</f>
        <v>535</v>
      </c>
      <c r="F628" s="188"/>
      <c r="G628" s="188"/>
    </row>
    <row r="629" spans="1:7" ht="17.25" customHeight="1">
      <c r="A629" s="303" t="s">
        <v>216</v>
      </c>
      <c r="B629" s="304"/>
      <c r="C629" s="305"/>
      <c r="D629" s="268"/>
      <c r="E629" s="268"/>
      <c r="F629" s="188"/>
      <c r="G629" s="188"/>
    </row>
    <row r="630" spans="1:7" ht="17.25" customHeight="1">
      <c r="A630" s="110">
        <v>132</v>
      </c>
      <c r="B630" s="111">
        <v>9</v>
      </c>
      <c r="C630" s="123" t="s">
        <v>379</v>
      </c>
      <c r="D630" s="284" t="s">
        <v>662</v>
      </c>
      <c r="E630" s="176">
        <v>1266</v>
      </c>
      <c r="F630" s="188"/>
      <c r="G630" s="188"/>
    </row>
    <row r="631" spans="1:7" ht="17.25" customHeight="1">
      <c r="A631" s="110">
        <v>128</v>
      </c>
      <c r="B631" s="111">
        <v>18</v>
      </c>
      <c r="C631" s="112" t="s">
        <v>217</v>
      </c>
      <c r="D631" s="116" t="s">
        <v>226</v>
      </c>
      <c r="E631" s="115">
        <v>836</v>
      </c>
      <c r="F631" s="188"/>
      <c r="G631" s="188"/>
    </row>
    <row r="632" spans="1:7" ht="17.25" customHeight="1">
      <c r="A632" s="110">
        <v>130</v>
      </c>
      <c r="B632" s="111">
        <v>4</v>
      </c>
      <c r="C632" s="285" t="s">
        <v>235</v>
      </c>
      <c r="D632" s="116" t="s">
        <v>486</v>
      </c>
      <c r="E632" s="115">
        <v>132</v>
      </c>
      <c r="F632" s="188"/>
      <c r="G632" s="188"/>
    </row>
    <row r="633" spans="1:7" ht="17.25" customHeight="1">
      <c r="A633" s="21"/>
      <c r="B633" s="277">
        <f>SUM(B630:B632)</f>
        <v>31</v>
      </c>
      <c r="C633" s="277"/>
      <c r="D633" s="277"/>
      <c r="E633" s="277">
        <f>SUM(E630:E632)</f>
        <v>2234</v>
      </c>
      <c r="F633" s="188"/>
      <c r="G633" s="188"/>
    </row>
    <row r="634" spans="1:7" ht="17.25" customHeight="1">
      <c r="A634" s="303" t="s">
        <v>229</v>
      </c>
      <c r="B634" s="304"/>
      <c r="C634" s="305"/>
      <c r="D634" s="277"/>
      <c r="E634" s="277"/>
      <c r="F634" s="188"/>
      <c r="G634" s="188"/>
    </row>
    <row r="635" spans="1:7" ht="17.25" customHeight="1">
      <c r="A635" s="110">
        <v>129</v>
      </c>
      <c r="B635" s="111">
        <v>1</v>
      </c>
      <c r="C635" s="286" t="s">
        <v>217</v>
      </c>
      <c r="D635" s="110" t="s">
        <v>237</v>
      </c>
      <c r="E635" s="111">
        <v>35</v>
      </c>
      <c r="F635" s="188"/>
      <c r="G635" s="188"/>
    </row>
    <row r="636" spans="1:7" ht="17.25" customHeight="1">
      <c r="A636" s="21"/>
      <c r="B636" s="277">
        <f>B635</f>
        <v>1</v>
      </c>
      <c r="C636" s="277"/>
      <c r="D636" s="277"/>
      <c r="E636" s="277">
        <f>E635</f>
        <v>35</v>
      </c>
      <c r="F636" s="188"/>
      <c r="G636" s="188"/>
    </row>
    <row r="637" spans="1:7" ht="17.25" customHeight="1">
      <c r="A637" s="268" t="s">
        <v>14</v>
      </c>
      <c r="B637" s="124">
        <f>B628+B633+B636</f>
        <v>40</v>
      </c>
      <c r="C637" s="124"/>
      <c r="D637" s="124"/>
      <c r="E637" s="124">
        <f>E628+E633+E636</f>
        <v>2804</v>
      </c>
      <c r="F637" s="188"/>
      <c r="G637" s="188"/>
    </row>
    <row r="638" spans="1:7" ht="17.25" customHeight="1">
      <c r="A638" s="275"/>
      <c r="B638" s="125"/>
      <c r="C638" s="126"/>
      <c r="D638" s="124"/>
      <c r="E638" s="124"/>
      <c r="F638" s="188"/>
      <c r="G638" s="188"/>
    </row>
    <row r="639" spans="1:7" ht="30.75" customHeight="1">
      <c r="A639" s="301" t="s">
        <v>680</v>
      </c>
      <c r="B639" s="302"/>
      <c r="C639" s="302"/>
      <c r="D639" s="302"/>
      <c r="E639" s="302"/>
      <c r="F639" s="188"/>
      <c r="G639" s="188"/>
    </row>
    <row r="640" spans="1:7" ht="22.5" customHeight="1">
      <c r="A640" s="39" t="s">
        <v>211</v>
      </c>
      <c r="B640" s="39" t="s">
        <v>212</v>
      </c>
      <c r="C640" s="39" t="s">
        <v>213</v>
      </c>
      <c r="D640" s="39" t="s">
        <v>214</v>
      </c>
      <c r="E640" s="38" t="s">
        <v>215</v>
      </c>
      <c r="F640" s="188"/>
      <c r="G640" s="188"/>
    </row>
    <row r="641" spans="1:7" ht="17.25" customHeight="1">
      <c r="A641" s="303" t="s">
        <v>222</v>
      </c>
      <c r="B641" s="304"/>
      <c r="C641" s="305"/>
      <c r="D641" s="39"/>
      <c r="E641" s="38"/>
      <c r="F641" s="188"/>
      <c r="G641" s="188"/>
    </row>
    <row r="642" spans="1:7" ht="26.25" customHeight="1">
      <c r="A642" s="59" t="s">
        <v>664</v>
      </c>
      <c r="B642" s="176">
        <v>14</v>
      </c>
      <c r="C642" s="176" t="s">
        <v>223</v>
      </c>
      <c r="D642" s="104" t="s">
        <v>665</v>
      </c>
      <c r="E642" s="176">
        <v>817.9</v>
      </c>
      <c r="F642" s="188"/>
      <c r="G642" s="188"/>
    </row>
    <row r="643" spans="1:7" ht="17.25" customHeight="1">
      <c r="A643" s="59" t="s">
        <v>666</v>
      </c>
      <c r="B643" s="176">
        <v>1</v>
      </c>
      <c r="C643" s="176" t="s">
        <v>227</v>
      </c>
      <c r="D643" s="104" t="s">
        <v>667</v>
      </c>
      <c r="E643" s="176">
        <v>108</v>
      </c>
      <c r="F643" s="188"/>
      <c r="G643" s="188"/>
    </row>
    <row r="644" spans="1:7" ht="17.25" customHeight="1">
      <c r="A644" s="59" t="s">
        <v>668</v>
      </c>
      <c r="B644" s="176">
        <v>5</v>
      </c>
      <c r="C644" s="104" t="s">
        <v>217</v>
      </c>
      <c r="D644" s="104" t="s">
        <v>669</v>
      </c>
      <c r="E644" s="176">
        <v>389</v>
      </c>
      <c r="F644" s="188"/>
      <c r="G644" s="188"/>
    </row>
    <row r="645" spans="1:7" ht="17.25" customHeight="1">
      <c r="A645" s="39"/>
      <c r="B645" s="274">
        <f>SUM(B642:B644)</f>
        <v>20</v>
      </c>
      <c r="C645" s="274"/>
      <c r="D645" s="274"/>
      <c r="E645" s="274">
        <f>SUM(E642:E644)</f>
        <v>1314.9</v>
      </c>
      <c r="F645" s="188"/>
      <c r="G645" s="188"/>
    </row>
    <row r="646" spans="1:7" ht="17.25" customHeight="1">
      <c r="A646" s="303" t="s">
        <v>216</v>
      </c>
      <c r="B646" s="304"/>
      <c r="C646" s="305"/>
      <c r="D646" s="274"/>
      <c r="E646" s="274"/>
      <c r="F646" s="188"/>
      <c r="G646" s="188"/>
    </row>
    <row r="647" spans="1:7" ht="17.25" customHeight="1">
      <c r="A647" s="59" t="s">
        <v>670</v>
      </c>
      <c r="B647" s="176">
        <v>3</v>
      </c>
      <c r="C647" s="104" t="s">
        <v>472</v>
      </c>
      <c r="D647" s="104" t="s">
        <v>671</v>
      </c>
      <c r="E647" s="176">
        <v>180</v>
      </c>
      <c r="F647" s="188"/>
      <c r="G647" s="188"/>
    </row>
    <row r="648" spans="1:7" ht="17.25" customHeight="1">
      <c r="A648" s="59" t="s">
        <v>672</v>
      </c>
      <c r="B648" s="176">
        <v>1</v>
      </c>
      <c r="C648" s="251" t="s">
        <v>239</v>
      </c>
      <c r="D648" s="39" t="s">
        <v>673</v>
      </c>
      <c r="E648" s="39">
        <v>195</v>
      </c>
      <c r="F648" s="188"/>
      <c r="G648" s="188"/>
    </row>
    <row r="649" spans="1:7" ht="17.25" customHeight="1">
      <c r="A649" s="59" t="s">
        <v>674</v>
      </c>
      <c r="B649" s="59">
        <v>11</v>
      </c>
      <c r="C649" s="251" t="s">
        <v>679</v>
      </c>
      <c r="D649" s="39" t="s">
        <v>675</v>
      </c>
      <c r="E649" s="59">
        <v>1441.4</v>
      </c>
      <c r="F649" s="188"/>
      <c r="G649" s="188"/>
    </row>
    <row r="650" spans="1:7" ht="17.25" customHeight="1">
      <c r="A650" s="59" t="s">
        <v>676</v>
      </c>
      <c r="B650" s="176">
        <v>8</v>
      </c>
      <c r="C650" s="104" t="s">
        <v>472</v>
      </c>
      <c r="D650" s="104" t="s">
        <v>677</v>
      </c>
      <c r="E650" s="176">
        <v>335</v>
      </c>
      <c r="F650" s="188"/>
      <c r="G650" s="188"/>
    </row>
    <row r="651" spans="1:7" ht="17.25" customHeight="1">
      <c r="A651" s="59" t="s">
        <v>678</v>
      </c>
      <c r="B651" s="176">
        <v>8</v>
      </c>
      <c r="C651" s="104" t="s">
        <v>681</v>
      </c>
      <c r="D651" s="104" t="s">
        <v>677</v>
      </c>
      <c r="E651" s="176">
        <v>486</v>
      </c>
      <c r="F651" s="188"/>
      <c r="G651" s="188"/>
    </row>
    <row r="652" spans="1:7" ht="17.25" customHeight="1">
      <c r="A652" s="39"/>
      <c r="B652" s="274">
        <f>SUM(B647:B651)</f>
        <v>31</v>
      </c>
      <c r="C652" s="274"/>
      <c r="D652" s="274"/>
      <c r="E652" s="282">
        <f>SUM(E647:E651)</f>
        <v>2637.4</v>
      </c>
      <c r="F652" s="188"/>
      <c r="G652" s="188"/>
    </row>
    <row r="653" spans="1:7" ht="17.25" customHeight="1">
      <c r="A653" s="274" t="s">
        <v>14</v>
      </c>
      <c r="B653" s="124">
        <f>B645+B652</f>
        <v>51</v>
      </c>
      <c r="C653" s="124"/>
      <c r="D653" s="124"/>
      <c r="E653" s="124">
        <f>E645+E652</f>
        <v>3952.3</v>
      </c>
      <c r="F653" s="188"/>
      <c r="G653" s="188"/>
    </row>
    <row r="654" spans="1:7" ht="17.25" customHeight="1">
      <c r="A654" s="280"/>
      <c r="B654" s="125"/>
      <c r="C654" s="126"/>
      <c r="D654" s="124"/>
      <c r="E654" s="124"/>
      <c r="F654" s="188"/>
      <c r="G654" s="188"/>
    </row>
    <row r="655" spans="1:7" ht="31.5" customHeight="1">
      <c r="A655" s="301" t="s">
        <v>707</v>
      </c>
      <c r="B655" s="302"/>
      <c r="C655" s="302"/>
      <c r="D655" s="302"/>
      <c r="E655" s="302"/>
      <c r="F655" s="188" t="s">
        <v>709</v>
      </c>
      <c r="G655" s="188"/>
    </row>
    <row r="656" spans="1:7" ht="24" customHeight="1">
      <c r="A656" s="39" t="s">
        <v>211</v>
      </c>
      <c r="B656" s="39" t="s">
        <v>212</v>
      </c>
      <c r="C656" s="39" t="s">
        <v>213</v>
      </c>
      <c r="D656" s="39" t="s">
        <v>214</v>
      </c>
      <c r="E656" s="38" t="s">
        <v>215</v>
      </c>
      <c r="F656" s="188"/>
      <c r="G656" s="188"/>
    </row>
    <row r="657" spans="1:7" ht="17.25" customHeight="1">
      <c r="A657" s="303" t="s">
        <v>222</v>
      </c>
      <c r="B657" s="304"/>
      <c r="C657" s="305"/>
      <c r="D657" s="39"/>
      <c r="E657" s="38"/>
      <c r="F657" s="188"/>
      <c r="G657" s="188"/>
    </row>
    <row r="658" spans="1:7" ht="30" customHeight="1">
      <c r="A658" s="276">
        <v>1416</v>
      </c>
      <c r="B658" s="272">
        <v>22</v>
      </c>
      <c r="C658" s="272" t="s">
        <v>227</v>
      </c>
      <c r="D658" s="276" t="s">
        <v>695</v>
      </c>
      <c r="E658" s="276">
        <v>2296</v>
      </c>
      <c r="F658" s="188"/>
      <c r="G658" s="188"/>
    </row>
    <row r="659" spans="1:7" ht="30" customHeight="1">
      <c r="A659" s="276">
        <v>1421</v>
      </c>
      <c r="B659" s="272">
        <v>25</v>
      </c>
      <c r="C659" s="272" t="s">
        <v>223</v>
      </c>
      <c r="D659" s="276" t="s">
        <v>696</v>
      </c>
      <c r="E659" s="276">
        <v>1501</v>
      </c>
      <c r="F659" s="188"/>
      <c r="G659" s="188"/>
    </row>
    <row r="660" spans="1:7" ht="30" customHeight="1">
      <c r="A660" s="276">
        <v>1422</v>
      </c>
      <c r="B660" s="272">
        <v>25</v>
      </c>
      <c r="C660" s="272" t="s">
        <v>223</v>
      </c>
      <c r="D660" s="276" t="s">
        <v>697</v>
      </c>
      <c r="E660" s="212">
        <v>1503</v>
      </c>
      <c r="F660" s="188"/>
      <c r="G660" s="188"/>
    </row>
    <row r="661" spans="1:7" ht="17.25" customHeight="1">
      <c r="A661" s="39"/>
      <c r="B661" s="294">
        <f>SUM(B658:B660)</f>
        <v>72</v>
      </c>
      <c r="C661" s="294"/>
      <c r="D661" s="279"/>
      <c r="E661" s="279">
        <f>SUM(E658:E660)</f>
        <v>5300</v>
      </c>
      <c r="F661" s="188"/>
      <c r="G661" s="188"/>
    </row>
    <row r="662" spans="1:7" ht="17.25" customHeight="1">
      <c r="A662" s="303" t="s">
        <v>216</v>
      </c>
      <c r="B662" s="304"/>
      <c r="C662" s="305"/>
      <c r="D662" s="279"/>
      <c r="E662" s="279"/>
      <c r="F662" s="188"/>
      <c r="G662" s="188"/>
    </row>
    <row r="663" spans="1:7" ht="27" customHeight="1">
      <c r="A663" s="276">
        <v>1426</v>
      </c>
      <c r="B663" s="272">
        <v>27</v>
      </c>
      <c r="C663" s="276" t="s">
        <v>217</v>
      </c>
      <c r="D663" s="276" t="s">
        <v>700</v>
      </c>
      <c r="E663" s="276">
        <v>1991</v>
      </c>
      <c r="F663" s="188"/>
      <c r="G663" s="188"/>
    </row>
    <row r="664" spans="1:7" ht="17.25" customHeight="1">
      <c r="A664" s="39"/>
      <c r="B664" s="294">
        <f>SUM(B663:B663)</f>
        <v>27</v>
      </c>
      <c r="C664" s="294"/>
      <c r="D664" s="279"/>
      <c r="E664" s="279">
        <f>SUM(E663:E663)</f>
        <v>1991</v>
      </c>
      <c r="F664" s="188"/>
      <c r="G664" s="188"/>
    </row>
    <row r="665" spans="1:7" ht="17.25" customHeight="1">
      <c r="A665" s="303" t="s">
        <v>228</v>
      </c>
      <c r="B665" s="304"/>
      <c r="C665" s="305"/>
      <c r="D665" s="124"/>
      <c r="E665" s="124"/>
      <c r="F665" s="188"/>
      <c r="G665" s="188"/>
    </row>
    <row r="666" spans="1:7" ht="17.25" customHeight="1">
      <c r="A666" s="276">
        <v>1415</v>
      </c>
      <c r="B666" s="272">
        <v>30</v>
      </c>
      <c r="C666" s="276" t="s">
        <v>217</v>
      </c>
      <c r="D666" s="212" t="s">
        <v>703</v>
      </c>
      <c r="E666" s="212">
        <v>1815</v>
      </c>
      <c r="F666" s="188"/>
      <c r="G666" s="188"/>
    </row>
    <row r="667" spans="1:7" ht="17.25" customHeight="1">
      <c r="A667" s="279"/>
      <c r="B667" s="124">
        <f>B666</f>
        <v>30</v>
      </c>
      <c r="C667" s="124"/>
      <c r="D667" s="124"/>
      <c r="E667" s="125">
        <f>E666</f>
        <v>1815</v>
      </c>
      <c r="F667" s="188"/>
      <c r="G667" s="188"/>
    </row>
    <row r="668" spans="1:7" ht="17.25" customHeight="1">
      <c r="A668" s="279" t="s">
        <v>14</v>
      </c>
      <c r="B668" s="124">
        <f>B661+B664+B667</f>
        <v>129</v>
      </c>
      <c r="C668" s="124"/>
      <c r="D668" s="124"/>
      <c r="E668" s="124">
        <f>E661+E664+E667</f>
        <v>9106</v>
      </c>
      <c r="F668" s="188"/>
      <c r="G668" s="188"/>
    </row>
    <row r="669" spans="1:7" ht="17.25" customHeight="1">
      <c r="A669" s="290"/>
      <c r="B669" s="125"/>
      <c r="C669" s="126"/>
      <c r="D669" s="124"/>
      <c r="E669" s="124"/>
      <c r="F669" s="188"/>
      <c r="G669" s="188"/>
    </row>
    <row r="670" spans="1:7" ht="26.25" customHeight="1">
      <c r="A670" s="301" t="s">
        <v>710</v>
      </c>
      <c r="B670" s="302"/>
      <c r="C670" s="302"/>
      <c r="D670" s="302"/>
      <c r="E670" s="302"/>
      <c r="F670" s="188" t="s">
        <v>709</v>
      </c>
      <c r="G670" s="188"/>
    </row>
    <row r="671" spans="1:7" ht="31.5" customHeight="1">
      <c r="A671" s="39" t="s">
        <v>211</v>
      </c>
      <c r="B671" s="39" t="s">
        <v>212</v>
      </c>
      <c r="C671" s="39" t="s">
        <v>213</v>
      </c>
      <c r="D671" s="39" t="s">
        <v>214</v>
      </c>
      <c r="E671" s="38" t="s">
        <v>215</v>
      </c>
      <c r="F671" s="188"/>
      <c r="G671" s="188"/>
    </row>
    <row r="672" spans="1:7" ht="17.25" customHeight="1">
      <c r="A672" s="303" t="s">
        <v>222</v>
      </c>
      <c r="B672" s="304"/>
      <c r="C672" s="305"/>
      <c r="D672" s="39"/>
      <c r="E672" s="38"/>
      <c r="F672" s="188"/>
      <c r="G672" s="188"/>
    </row>
    <row r="673" spans="1:7" ht="33.75" customHeight="1">
      <c r="A673" s="276">
        <v>1423</v>
      </c>
      <c r="B673" s="272">
        <v>25</v>
      </c>
      <c r="C673" s="272" t="s">
        <v>223</v>
      </c>
      <c r="D673" s="212" t="s">
        <v>698</v>
      </c>
      <c r="E673" s="212">
        <v>1497</v>
      </c>
      <c r="F673" s="188"/>
      <c r="G673" s="188"/>
    </row>
    <row r="674" spans="1:7" ht="33.75" customHeight="1">
      <c r="A674" s="276">
        <v>1424</v>
      </c>
      <c r="B674" s="272">
        <v>25</v>
      </c>
      <c r="C674" s="272" t="s">
        <v>223</v>
      </c>
      <c r="D674" s="212" t="s">
        <v>699</v>
      </c>
      <c r="E674" s="212">
        <v>1531</v>
      </c>
      <c r="F674" s="188"/>
      <c r="G674" s="188"/>
    </row>
    <row r="675" spans="1:7" ht="33.75" customHeight="1">
      <c r="A675" s="276">
        <v>1425</v>
      </c>
      <c r="B675" s="272">
        <v>25</v>
      </c>
      <c r="C675" s="272" t="s">
        <v>223</v>
      </c>
      <c r="D675" s="212" t="s">
        <v>706</v>
      </c>
      <c r="E675" s="212">
        <v>1482</v>
      </c>
      <c r="F675" s="188"/>
      <c r="G675" s="188"/>
    </row>
    <row r="676" spans="1:7" ht="17.25" customHeight="1">
      <c r="A676" s="39"/>
      <c r="B676" s="289">
        <f>SUM(B673:B675)</f>
        <v>75</v>
      </c>
      <c r="C676" s="289"/>
      <c r="D676" s="289"/>
      <c r="E676" s="289">
        <f>SUM(E673:E675)</f>
        <v>4510</v>
      </c>
      <c r="F676" s="188"/>
      <c r="G676" s="188"/>
    </row>
    <row r="677" spans="1:7" ht="17.25" customHeight="1">
      <c r="A677" s="303" t="s">
        <v>216</v>
      </c>
      <c r="B677" s="304"/>
      <c r="C677" s="305"/>
      <c r="D677" s="289"/>
      <c r="E677" s="289"/>
      <c r="F677" s="188"/>
      <c r="G677" s="188"/>
    </row>
    <row r="678" spans="1:7" ht="17.25" customHeight="1">
      <c r="A678" s="212">
        <v>1418</v>
      </c>
      <c r="B678" s="271">
        <v>9</v>
      </c>
      <c r="C678" s="273" t="s">
        <v>239</v>
      </c>
      <c r="D678" s="276" t="s">
        <v>701</v>
      </c>
      <c r="E678" s="212">
        <v>1780</v>
      </c>
      <c r="F678" s="188"/>
      <c r="G678" s="188"/>
    </row>
    <row r="679" spans="1:7" ht="17.25" customHeight="1">
      <c r="A679" s="212">
        <v>1419</v>
      </c>
      <c r="B679" s="212">
        <v>11</v>
      </c>
      <c r="C679" s="270" t="s">
        <v>242</v>
      </c>
      <c r="D679" s="212" t="s">
        <v>705</v>
      </c>
      <c r="E679" s="212">
        <v>1775</v>
      </c>
      <c r="F679" s="188"/>
      <c r="G679" s="188"/>
    </row>
    <row r="680" spans="1:7" ht="17.25" customHeight="1">
      <c r="A680" s="271">
        <v>1420</v>
      </c>
      <c r="B680" s="271">
        <v>3</v>
      </c>
      <c r="C680" s="273" t="s">
        <v>231</v>
      </c>
      <c r="D680" s="271" t="s">
        <v>702</v>
      </c>
      <c r="E680" s="271">
        <v>345</v>
      </c>
      <c r="F680" s="188"/>
      <c r="G680" s="188"/>
    </row>
    <row r="681" spans="1:7" ht="17.25" customHeight="1">
      <c r="A681" s="39"/>
      <c r="B681" s="289">
        <f>SUM(B678:B680)</f>
        <v>23</v>
      </c>
      <c r="C681" s="289"/>
      <c r="D681" s="289"/>
      <c r="E681" s="289">
        <f>SUM(E678:E680)</f>
        <v>3900</v>
      </c>
      <c r="F681" s="188"/>
      <c r="G681" s="188"/>
    </row>
    <row r="682" spans="1:7" ht="17.25" customHeight="1">
      <c r="A682" s="303" t="s">
        <v>229</v>
      </c>
      <c r="B682" s="304"/>
      <c r="C682" s="305"/>
      <c r="D682" s="124"/>
      <c r="E682" s="124"/>
      <c r="F682" s="188"/>
      <c r="G682" s="188"/>
    </row>
    <row r="683" spans="1:7" ht="17.25" customHeight="1">
      <c r="A683" s="212">
        <v>1417</v>
      </c>
      <c r="B683" s="271">
        <v>23</v>
      </c>
      <c r="C683" s="212" t="s">
        <v>217</v>
      </c>
      <c r="D683" s="212" t="s">
        <v>704</v>
      </c>
      <c r="E683" s="212">
        <v>1378</v>
      </c>
      <c r="F683" s="188"/>
      <c r="G683" s="188"/>
    </row>
    <row r="684" spans="1:7" ht="17.25" customHeight="1">
      <c r="A684" s="39"/>
      <c r="B684" s="289">
        <f>B683</f>
        <v>23</v>
      </c>
      <c r="C684" s="289"/>
      <c r="D684" s="289"/>
      <c r="E684" s="289">
        <f>E683</f>
        <v>1378</v>
      </c>
      <c r="F684" s="188"/>
      <c r="G684" s="188"/>
    </row>
    <row r="685" spans="1:7" ht="17.25" customHeight="1">
      <c r="A685" s="289" t="s">
        <v>14</v>
      </c>
      <c r="B685" s="124">
        <f>B676+B681+B684</f>
        <v>121</v>
      </c>
      <c r="C685" s="124"/>
      <c r="D685" s="124"/>
      <c r="E685" s="124">
        <f>E676+E681+E684</f>
        <v>9788</v>
      </c>
      <c r="F685" s="188"/>
      <c r="G685" s="188"/>
    </row>
    <row r="686" spans="1:7" ht="17.25" customHeight="1">
      <c r="A686" s="240"/>
      <c r="B686" s="125"/>
      <c r="C686" s="126"/>
      <c r="D686" s="124"/>
      <c r="E686" s="124"/>
      <c r="F686" s="119"/>
      <c r="G686" s="119"/>
    </row>
    <row r="687" spans="1:8" ht="15" customHeight="1">
      <c r="A687" s="316" t="s">
        <v>22</v>
      </c>
      <c r="B687" s="317"/>
      <c r="C687" s="318"/>
      <c r="D687" s="8"/>
      <c r="E687" s="10"/>
      <c r="H687" s="1"/>
    </row>
    <row r="688" spans="1:8" ht="15" customHeight="1">
      <c r="A688" s="38"/>
      <c r="B688" s="128"/>
      <c r="C688" s="129"/>
      <c r="D688" s="42"/>
      <c r="E688" s="43">
        <f>SUM(E690:E693)</f>
        <v>6.209</v>
      </c>
      <c r="G688" s="92"/>
      <c r="H688" s="1"/>
    </row>
    <row r="689" spans="1:18" ht="15" customHeight="1">
      <c r="A689" s="39" t="s">
        <v>5</v>
      </c>
      <c r="B689" s="301" t="s">
        <v>17</v>
      </c>
      <c r="C689" s="306"/>
      <c r="D689" s="127" t="s">
        <v>18</v>
      </c>
      <c r="E689" s="39" t="s">
        <v>7</v>
      </c>
      <c r="F689" s="97"/>
      <c r="G689" s="92" t="str">
        <f>CONCATENATE("Cable Scrap, Lying at ",B690,". Quantity in MT - ")</f>
        <v>Cable Scrap, Lying at CS Ferozepur. Quantity in MT - </v>
      </c>
      <c r="H689" s="297" t="str">
        <f ca="1">CONCATENATE(G689,G690,(INDIRECT(I690)),(INDIRECT(J690)),(INDIRECT(K690)),(INDIRECT(L690)),(INDIRECT(M690)),(INDIRECT(N690)),(INDIRECT(O690)),(INDIRECT(P690)),(INDIRECT(Q690)),(INDIRECT(R690)))</f>
        <v>Cable Scrap, Lying at CS Ferozepur. Quantity in MT - 2/core PVC Alumn. Cable scrap - 0.719, 4/core PVC Alumn. Cable scrap - 2.482, 1/ core XLPE Alu cable scrap - 0.136, 3/ core XLPE Alu cable scrap - 2.872, </v>
      </c>
      <c r="I689" s="97" t="str">
        <f aca="true" ca="1" t="array" ref="I689">CELL("address",INDEX(G689:G713,MATCH(TRUE,ISBLANK(G689:G713),0)))</f>
        <v>$G$694</v>
      </c>
      <c r="J689" s="97">
        <f aca="true" t="array" ref="J689">MATCH(TRUE,ISBLANK(G689:G713),0)</f>
        <v>6</v>
      </c>
      <c r="K689" s="97">
        <f>J689-3</f>
        <v>3</v>
      </c>
      <c r="L689" s="97"/>
      <c r="M689" s="97"/>
      <c r="N689" s="97"/>
      <c r="O689" s="97"/>
      <c r="P689" s="97"/>
      <c r="Q689" s="97"/>
      <c r="R689" s="97"/>
    </row>
    <row r="690" spans="1:18" ht="15" customHeight="1">
      <c r="A690" s="299" t="s">
        <v>35</v>
      </c>
      <c r="B690" s="299" t="s">
        <v>99</v>
      </c>
      <c r="C690" s="299"/>
      <c r="D690" s="44" t="s">
        <v>90</v>
      </c>
      <c r="E690" s="45">
        <v>0.719</v>
      </c>
      <c r="F690" s="97"/>
      <c r="G690" s="91" t="str">
        <f>CONCATENATE(D690," - ",E690,", ")</f>
        <v>2/core PVC Alumn. Cable scrap - 0.719, </v>
      </c>
      <c r="H690" s="297"/>
      <c r="I690" s="97" t="str">
        <f ca="1">IF(J689&gt;=3,(MID(I689,2,1)&amp;MID(I689,4,3)-K689),CELL("address",Z690))</f>
        <v>G691</v>
      </c>
      <c r="J690" s="97" t="str">
        <f ca="1">IF(J689&gt;=4,(MID(I690,1,1)&amp;MID(I690,2,3)+1),CELL("address",AA690))</f>
        <v>G692</v>
      </c>
      <c r="K690" s="97" t="str">
        <f ca="1">IF(J689&gt;=5,(MID(J690,1,1)&amp;MID(J690,2,3)+1),CELL("address",AB690))</f>
        <v>G693</v>
      </c>
      <c r="L690" s="97" t="str">
        <f ca="1">IF(J689&gt;=6,(MID(K690,1,1)&amp;MID(K690,2,3)+1),CELL("address",AC690))</f>
        <v>G694</v>
      </c>
      <c r="M690" s="97" t="str">
        <f ca="1">IF(J689&gt;=7,(MID(L690,1,1)&amp;MID(L690,2,3)+1),CELL("address",AD690))</f>
        <v>$AD$690</v>
      </c>
      <c r="N690" s="97" t="str">
        <f ca="1">IF(J689&gt;=8,(MID(M690,1,1)&amp;MID(M690,2,3)+1),CELL("address",AE690))</f>
        <v>$AE$690</v>
      </c>
      <c r="O690" s="97" t="str">
        <f ca="1">IF(J689&gt;=9,(MID(N690,1,1)&amp;MID(N690,2,3)+1),CELL("address",AF690))</f>
        <v>$AF$690</v>
      </c>
      <c r="P690" s="97" t="str">
        <f ca="1">IF(J689&gt;=10,(MID(O690,1,1)&amp;MID(O690,2,3)+1),CELL("address",AG690))</f>
        <v>$AG$690</v>
      </c>
      <c r="Q690" s="97" t="str">
        <f ca="1">IF(J689&gt;=11,(MID(P690,1,1)&amp;MID(P690,2,3)+1),CELL("address",AH690))</f>
        <v>$AH$690</v>
      </c>
      <c r="R690" s="97" t="str">
        <f ca="1">IF(J689&gt;=12,(MID(Q690,1,1)&amp;MID(Q690,2,3)+1),CELL("address",AI690))</f>
        <v>$AI$690</v>
      </c>
    </row>
    <row r="691" spans="1:15" ht="15" customHeight="1">
      <c r="A691" s="299"/>
      <c r="B691" s="299"/>
      <c r="C691" s="299"/>
      <c r="D691" s="44" t="s">
        <v>91</v>
      </c>
      <c r="E691" s="45">
        <v>2.482</v>
      </c>
      <c r="G691" s="91" t="str">
        <f>CONCATENATE(D691," - ",E691,", ")</f>
        <v>4/core PVC Alumn. Cable scrap - 2.482, </v>
      </c>
      <c r="H691" s="97"/>
      <c r="I691" s="97" t="e">
        <f ca="1">IF(G690&gt;=6,(MID(H691,1,1)&amp;MID(H691,2,3)+1),CELL("address",Z691))</f>
        <v>#VALUE!</v>
      </c>
      <c r="J691" s="97" t="e">
        <f ca="1">IF(G690&gt;=7,(MID(I691,1,1)&amp;MID(I691,2,3)+1),CELL("address",AA691))</f>
        <v>#VALUE!</v>
      </c>
      <c r="K691" s="97" t="e">
        <f ca="1">IF(G690&gt;=8,(MID(J691,1,1)&amp;MID(J691,2,3)+1),CELL("address",AB691))</f>
        <v>#VALUE!</v>
      </c>
      <c r="L691" s="97" t="e">
        <f ca="1">IF(G690&gt;=9,(MID(K691,1,1)&amp;MID(K691,2,3)+1),CELL("address",AC691))</f>
        <v>#VALUE!</v>
      </c>
      <c r="M691" s="97" t="e">
        <f ca="1">IF(G690&gt;=10,(MID(L691,1,1)&amp;MID(L691,2,3)+1),CELL("address",AD691))</f>
        <v>#VALUE!</v>
      </c>
      <c r="N691" s="97" t="e">
        <f ca="1">IF(G690&gt;=11,(MID(M691,1,1)&amp;MID(M691,2,3)+1),CELL("address",AE691))</f>
        <v>#VALUE!</v>
      </c>
      <c r="O691" s="97" t="e">
        <f ca="1">IF(G690&gt;=12,(MID(N691,1,1)&amp;MID(N691,2,3)+1),CELL("address",AF691))</f>
        <v>#VALUE!</v>
      </c>
    </row>
    <row r="692" spans="1:8" ht="15" customHeight="1">
      <c r="A692" s="299"/>
      <c r="B692" s="299"/>
      <c r="C692" s="299"/>
      <c r="D692" s="44" t="s">
        <v>97</v>
      </c>
      <c r="E692" s="44">
        <v>0.136</v>
      </c>
      <c r="G692" s="91" t="str">
        <f>CONCATENATE(D692," - ",E692,", ")</f>
        <v>1/ core XLPE Alu cable scrap - 0.136, </v>
      </c>
      <c r="H692" s="1"/>
    </row>
    <row r="693" spans="1:8" ht="15" customHeight="1">
      <c r="A693" s="299"/>
      <c r="B693" s="299"/>
      <c r="C693" s="299"/>
      <c r="D693" s="44" t="s">
        <v>92</v>
      </c>
      <c r="E693" s="46">
        <v>2.872</v>
      </c>
      <c r="G693" s="91" t="str">
        <f>CONCATENATE(D693," - ",E693,", ")</f>
        <v>3/ core XLPE Alu cable scrap - 2.872, </v>
      </c>
      <c r="H693" s="1"/>
    </row>
    <row r="694" spans="1:8" ht="15" customHeight="1">
      <c r="A694" s="38"/>
      <c r="B694" s="47"/>
      <c r="C694" s="254"/>
      <c r="D694" s="33"/>
      <c r="E694" s="48"/>
      <c r="H694" s="1"/>
    </row>
    <row r="695" spans="1:8" ht="15" customHeight="1">
      <c r="A695" s="39"/>
      <c r="B695" s="312"/>
      <c r="C695" s="313"/>
      <c r="D695" s="212"/>
      <c r="E695" s="51">
        <f>SUM(E697:E700)</f>
        <v>3.2920000000000003</v>
      </c>
      <c r="H695" s="1"/>
    </row>
    <row r="696" spans="1:18" ht="15" customHeight="1">
      <c r="A696" s="39" t="s">
        <v>5</v>
      </c>
      <c r="B696" s="299" t="s">
        <v>17</v>
      </c>
      <c r="C696" s="299"/>
      <c r="D696" s="207" t="s">
        <v>18</v>
      </c>
      <c r="E696" s="39" t="s">
        <v>7</v>
      </c>
      <c r="F696" s="97"/>
      <c r="G696" s="92" t="str">
        <f>CONCATENATE("Cable Scrap, Lying at ",B697,". Quantity in MT - ")</f>
        <v>Cable Scrap, Lying at OL Shri Muktsar Sahib. Quantity in MT - </v>
      </c>
      <c r="H696" s="297" t="str">
        <f ca="1">CONCATENATE(G696,G697,(INDIRECT(I697)),(INDIRECT(J697)),(INDIRECT(K697)),(INDIRECT(L697)),(INDIRECT(M697)),(INDIRECT(N697)),(INDIRECT(O697)),(INDIRECT(P697)),(INDIRECT(Q697)),(INDIRECT(R697)))</f>
        <v>Cable Scrap, Lying at OL Shri Muktsar Sahib. Quantity in MT - 4/core PVC Alumn. Cable scrap - 0.679, 3/ core XLPE Alu cable scrap - 1.96, 1/core PVC Alumn. Cable scrap - 0.141, 2/core PVC Alumn. Cable scrap - 0.512, </v>
      </c>
      <c r="I696" s="97" t="str">
        <f aca="true" ca="1" t="array" ref="I696">CELL("address",INDEX(G696:G720,MATCH(TRUE,ISBLANK(G696:G720),0)))</f>
        <v>$G$701</v>
      </c>
      <c r="J696" s="97">
        <f aca="true" t="array" ref="J696">MATCH(TRUE,ISBLANK(G696:G720),0)</f>
        <v>6</v>
      </c>
      <c r="K696" s="97">
        <f>J696-3</f>
        <v>3</v>
      </c>
      <c r="L696" s="97"/>
      <c r="M696" s="97"/>
      <c r="N696" s="97"/>
      <c r="O696" s="97"/>
      <c r="P696" s="97"/>
      <c r="Q696" s="97"/>
      <c r="R696" s="97"/>
    </row>
    <row r="697" spans="1:18" ht="15" customHeight="1">
      <c r="A697" s="298" t="s">
        <v>93</v>
      </c>
      <c r="B697" s="326" t="s">
        <v>146</v>
      </c>
      <c r="C697" s="327"/>
      <c r="D697" s="44" t="s">
        <v>91</v>
      </c>
      <c r="E697" s="45">
        <v>0.679</v>
      </c>
      <c r="F697" s="97"/>
      <c r="G697" s="91" t="str">
        <f>CONCATENATE(D697," - ",E697,", ")</f>
        <v>4/core PVC Alumn. Cable scrap - 0.679, </v>
      </c>
      <c r="H697" s="297"/>
      <c r="I697" s="97" t="str">
        <f ca="1">IF(J696&gt;=3,(MID(I696,2,1)&amp;MID(I696,4,3)-K696),CELL("address",Z697))</f>
        <v>G698</v>
      </c>
      <c r="J697" s="97" t="str">
        <f ca="1">IF(J696&gt;=4,(MID(I697,1,1)&amp;MID(I697,2,3)+1),CELL("address",AA697))</f>
        <v>G699</v>
      </c>
      <c r="K697" s="97" t="str">
        <f ca="1">IF(J696&gt;=5,(MID(J697,1,1)&amp;MID(J697,2,3)+1),CELL("address",AB697))</f>
        <v>G700</v>
      </c>
      <c r="L697" s="97" t="str">
        <f ca="1">IF(J696&gt;=6,(MID(K697,1,1)&amp;MID(K697,2,3)+1),CELL("address",AC697))</f>
        <v>G701</v>
      </c>
      <c r="M697" s="97" t="str">
        <f ca="1">IF(J696&gt;=7,(MID(L697,1,1)&amp;MID(L697,2,3)+1),CELL("address",AD697))</f>
        <v>$AD$697</v>
      </c>
      <c r="N697" s="97" t="str">
        <f ca="1">IF(J696&gt;=8,(MID(M697,1,1)&amp;MID(M697,2,3)+1),CELL("address",AE697))</f>
        <v>$AE$697</v>
      </c>
      <c r="O697" s="97" t="str">
        <f ca="1">IF(J696&gt;=9,(MID(N697,1,1)&amp;MID(N697,2,3)+1),CELL("address",AF697))</f>
        <v>$AF$697</v>
      </c>
      <c r="P697" s="97" t="str">
        <f ca="1">IF(J696&gt;=10,(MID(O697,1,1)&amp;MID(O697,2,3)+1),CELL("address",AG697))</f>
        <v>$AG$697</v>
      </c>
      <c r="Q697" s="97" t="str">
        <f ca="1">IF(J696&gt;=11,(MID(P697,1,1)&amp;MID(P697,2,3)+1),CELL("address",AH697))</f>
        <v>$AH$697</v>
      </c>
      <c r="R697" s="97" t="str">
        <f ca="1">IF(J696&gt;=12,(MID(Q697,1,1)&amp;MID(Q697,2,3)+1),CELL("address",AI697))</f>
        <v>$AI$697</v>
      </c>
    </row>
    <row r="698" spans="1:15" ht="15" customHeight="1">
      <c r="A698" s="332"/>
      <c r="B698" s="328"/>
      <c r="C698" s="329"/>
      <c r="D698" s="44" t="s">
        <v>92</v>
      </c>
      <c r="E698" s="45">
        <v>1.96</v>
      </c>
      <c r="G698" s="91" t="str">
        <f>CONCATENATE(D698," - ",E698,", ")</f>
        <v>3/ core XLPE Alu cable scrap - 1.96, </v>
      </c>
      <c r="H698" s="97"/>
      <c r="I698" s="97" t="e">
        <f ca="1">IF(G697&gt;=6,(MID(H698,1,1)&amp;MID(H698,2,3)+1),CELL("address",Z698))</f>
        <v>#VALUE!</v>
      </c>
      <c r="J698" s="97" t="e">
        <f ca="1">IF(G697&gt;=7,(MID(I698,1,1)&amp;MID(I698,2,3)+1),CELL("address",AA698))</f>
        <v>#VALUE!</v>
      </c>
      <c r="K698" s="97" t="e">
        <f ca="1">IF(G697&gt;=8,(MID(J698,1,1)&amp;MID(J698,2,3)+1),CELL("address",AB698))</f>
        <v>#VALUE!</v>
      </c>
      <c r="L698" s="97" t="e">
        <f ca="1">IF(G697&gt;=9,(MID(K698,1,1)&amp;MID(K698,2,3)+1),CELL("address",AC698))</f>
        <v>#VALUE!</v>
      </c>
      <c r="M698" s="97" t="e">
        <f ca="1">IF(G697&gt;=10,(MID(L698,1,1)&amp;MID(L698,2,3)+1),CELL("address",AD698))</f>
        <v>#VALUE!</v>
      </c>
      <c r="N698" s="97" t="e">
        <f ca="1">IF(G697&gt;=11,(MID(M698,1,1)&amp;MID(M698,2,3)+1),CELL("address",AE698))</f>
        <v>#VALUE!</v>
      </c>
      <c r="O698" s="97" t="e">
        <f ca="1">IF(G697&gt;=12,(MID(N698,1,1)&amp;MID(N698,2,3)+1),CELL("address",AF698))</f>
        <v>#VALUE!</v>
      </c>
    </row>
    <row r="699" spans="1:8" ht="15" customHeight="1">
      <c r="A699" s="332"/>
      <c r="B699" s="328"/>
      <c r="C699" s="329"/>
      <c r="D699" s="44" t="s">
        <v>171</v>
      </c>
      <c r="E699" s="74">
        <v>0.141</v>
      </c>
      <c r="G699" s="91" t="str">
        <f>CONCATENATE(D699," - ",E699,", ")</f>
        <v>1/core PVC Alumn. Cable scrap - 0.141, </v>
      </c>
      <c r="H699" s="1"/>
    </row>
    <row r="700" spans="1:8" ht="15" customHeight="1">
      <c r="A700" s="333"/>
      <c r="B700" s="330"/>
      <c r="C700" s="331"/>
      <c r="D700" s="44" t="s">
        <v>90</v>
      </c>
      <c r="E700" s="74">
        <v>0.512</v>
      </c>
      <c r="G700" s="91" t="str">
        <f>CONCATENATE(D700," - ",E700,", ")</f>
        <v>2/core PVC Alumn. Cable scrap - 0.512, </v>
      </c>
      <c r="H700" s="1"/>
    </row>
    <row r="701" spans="1:8" ht="15" customHeight="1">
      <c r="A701" s="39"/>
      <c r="B701" s="312"/>
      <c r="C701" s="313"/>
      <c r="D701" s="70"/>
      <c r="E701" s="74"/>
      <c r="H701" s="1"/>
    </row>
    <row r="702" spans="1:8" ht="15" customHeight="1">
      <c r="A702" s="39"/>
      <c r="B702" s="312"/>
      <c r="C702" s="313"/>
      <c r="D702" s="214"/>
      <c r="E702" s="43">
        <f>SUM(E704:E707)</f>
        <v>3.5680000000000005</v>
      </c>
      <c r="H702" s="1"/>
    </row>
    <row r="703" spans="1:18" ht="15" customHeight="1">
      <c r="A703" s="39" t="s">
        <v>5</v>
      </c>
      <c r="B703" s="301" t="s">
        <v>17</v>
      </c>
      <c r="C703" s="306"/>
      <c r="D703" s="208" t="s">
        <v>18</v>
      </c>
      <c r="E703" s="39" t="s">
        <v>7</v>
      </c>
      <c r="F703" s="97"/>
      <c r="G703" s="92" t="str">
        <f>CONCATENATE("Cable Scrap, Lying at ",B704,". Quantity in MT - ")</f>
        <v>Cable Scrap, Lying at OL Bhagta Bhai Ka. Quantity in MT - </v>
      </c>
      <c r="H703" s="297" t="str">
        <f ca="1">CONCATENATE(G703,G704,(INDIRECT(I704)),(INDIRECT(J704)),(INDIRECT(K704)),(INDIRECT(L704)),(INDIRECT(M704)),(INDIRECT(N704)),(INDIRECT(O704)),(INDIRECT(P704)),(INDIRECT(Q704)),(INDIRECT(R704)))</f>
        <v>Cable Scrap, Lying at OL Bhagta Bhai Ka. Quantity in MT - 4/core PVC Alumn. Cable scrap - 1.928, 2/core PVC Alumn. Cable scrap - 0.567, 3/ core XLPE Alu cable scrap - 0.671, ABC cable scrap (150 mm) - 0.402, </v>
      </c>
      <c r="I703" s="97" t="str">
        <f aca="true" ca="1" t="array" ref="I703">CELL("address",INDEX(G703:G727,MATCH(TRUE,ISBLANK(G703:G727),0)))</f>
        <v>$G$708</v>
      </c>
      <c r="J703" s="97">
        <f aca="true" t="array" ref="J703">MATCH(TRUE,ISBLANK(G703:G727),0)</f>
        <v>6</v>
      </c>
      <c r="K703" s="97">
        <f>J703-3</f>
        <v>3</v>
      </c>
      <c r="L703" s="97"/>
      <c r="M703" s="97"/>
      <c r="N703" s="97"/>
      <c r="O703" s="97"/>
      <c r="P703" s="97"/>
      <c r="Q703" s="97"/>
      <c r="R703" s="97"/>
    </row>
    <row r="704" spans="1:18" ht="15" customHeight="1">
      <c r="A704" s="299" t="s">
        <v>94</v>
      </c>
      <c r="B704" s="299" t="s">
        <v>100</v>
      </c>
      <c r="C704" s="299"/>
      <c r="D704" s="44" t="s">
        <v>91</v>
      </c>
      <c r="E704" s="45">
        <v>1.928</v>
      </c>
      <c r="F704" s="97"/>
      <c r="G704" s="91" t="str">
        <f>CONCATENATE(D704," - ",E704,", ")</f>
        <v>4/core PVC Alumn. Cable scrap - 1.928, </v>
      </c>
      <c r="H704" s="297"/>
      <c r="I704" s="97" t="str">
        <f ca="1">IF(J703&gt;=3,(MID(I703,2,1)&amp;MID(I703,4,3)-K703),CELL("address",Z704))</f>
        <v>G705</v>
      </c>
      <c r="J704" s="97" t="str">
        <f ca="1">IF(J703&gt;=4,(MID(I704,1,1)&amp;MID(I704,2,3)+1),CELL("address",AA704))</f>
        <v>G706</v>
      </c>
      <c r="K704" s="97" t="str">
        <f ca="1">IF(J703&gt;=5,(MID(J704,1,1)&amp;MID(J704,2,3)+1),CELL("address",AB704))</f>
        <v>G707</v>
      </c>
      <c r="L704" s="97" t="str">
        <f ca="1">IF(J703&gt;=6,(MID(K704,1,1)&amp;MID(K704,2,3)+1),CELL("address",AC704))</f>
        <v>G708</v>
      </c>
      <c r="M704" s="97" t="str">
        <f ca="1">IF(J703&gt;=7,(MID(L704,1,1)&amp;MID(L704,2,3)+1),CELL("address",AD704))</f>
        <v>$AD$704</v>
      </c>
      <c r="N704" s="97" t="str">
        <f ca="1">IF(J703&gt;=8,(MID(M704,1,1)&amp;MID(M704,2,3)+1),CELL("address",AE704))</f>
        <v>$AE$704</v>
      </c>
      <c r="O704" s="97" t="str">
        <f ca="1">IF(J703&gt;=9,(MID(N704,1,1)&amp;MID(N704,2,3)+1),CELL("address",AF704))</f>
        <v>$AF$704</v>
      </c>
      <c r="P704" s="97" t="str">
        <f ca="1">IF(J703&gt;=10,(MID(O704,1,1)&amp;MID(O704,2,3)+1),CELL("address",AG704))</f>
        <v>$AG$704</v>
      </c>
      <c r="Q704" s="97" t="str">
        <f ca="1">IF(J703&gt;=11,(MID(P704,1,1)&amp;MID(P704,2,3)+1),CELL("address",AH704))</f>
        <v>$AH$704</v>
      </c>
      <c r="R704" s="97" t="str">
        <f ca="1">IF(J703&gt;=12,(MID(Q704,1,1)&amp;MID(Q704,2,3)+1),CELL("address",AI704))</f>
        <v>$AI$704</v>
      </c>
    </row>
    <row r="705" spans="1:15" ht="15" customHeight="1">
      <c r="A705" s="299"/>
      <c r="B705" s="299"/>
      <c r="C705" s="299"/>
      <c r="D705" s="44" t="s">
        <v>90</v>
      </c>
      <c r="E705" s="74">
        <v>0.567</v>
      </c>
      <c r="G705" s="91" t="str">
        <f>CONCATENATE(D705," - ",E705,", ")</f>
        <v>2/core PVC Alumn. Cable scrap - 0.567, </v>
      </c>
      <c r="H705" s="97"/>
      <c r="I705" s="97" t="e">
        <f ca="1">IF(G704&gt;=6,(MID(H705,1,1)&amp;MID(H705,2,3)+1),CELL("address",Z705))</f>
        <v>#VALUE!</v>
      </c>
      <c r="J705" s="97" t="e">
        <f ca="1">IF(G704&gt;=7,(MID(I705,1,1)&amp;MID(I705,2,3)+1),CELL("address",AA705))</f>
        <v>#VALUE!</v>
      </c>
      <c r="K705" s="97" t="e">
        <f ca="1">IF(G704&gt;=8,(MID(J705,1,1)&amp;MID(J705,2,3)+1),CELL("address",AB705))</f>
        <v>#VALUE!</v>
      </c>
      <c r="L705" s="97" t="e">
        <f ca="1">IF(G704&gt;=9,(MID(K705,1,1)&amp;MID(K705,2,3)+1),CELL("address",AC705))</f>
        <v>#VALUE!</v>
      </c>
      <c r="M705" s="97" t="e">
        <f ca="1">IF(G704&gt;=10,(MID(L705,1,1)&amp;MID(L705,2,3)+1),CELL("address",AD705))</f>
        <v>#VALUE!</v>
      </c>
      <c r="N705" s="97" t="e">
        <f ca="1">IF(G704&gt;=11,(MID(M705,1,1)&amp;MID(M705,2,3)+1),CELL("address",AE705))</f>
        <v>#VALUE!</v>
      </c>
      <c r="O705" s="97" t="e">
        <f ca="1">IF(G704&gt;=12,(MID(N705,1,1)&amp;MID(N705,2,3)+1),CELL("address",AF705))</f>
        <v>#VALUE!</v>
      </c>
    </row>
    <row r="706" spans="1:8" ht="15" customHeight="1">
      <c r="A706" s="299"/>
      <c r="B706" s="299"/>
      <c r="C706" s="299"/>
      <c r="D706" s="44" t="s">
        <v>92</v>
      </c>
      <c r="E706" s="74">
        <v>0.671</v>
      </c>
      <c r="G706" s="91" t="str">
        <f>CONCATENATE(D706," - ",E706,", ")</f>
        <v>3/ core XLPE Alu cable scrap - 0.671, </v>
      </c>
      <c r="H706" s="1"/>
    </row>
    <row r="707" spans="1:8" ht="15" customHeight="1">
      <c r="A707" s="299"/>
      <c r="B707" s="299"/>
      <c r="C707" s="299"/>
      <c r="D707" s="44" t="s">
        <v>244</v>
      </c>
      <c r="E707" s="74">
        <v>0.402</v>
      </c>
      <c r="G707" s="91" t="str">
        <f>CONCATENATE(D707," - ",E707,", ")</f>
        <v>ABC cable scrap (150 mm) - 0.402, </v>
      </c>
      <c r="H707" s="1"/>
    </row>
    <row r="708" spans="1:8" ht="15" customHeight="1">
      <c r="A708" s="38"/>
      <c r="B708" s="40"/>
      <c r="C708" s="41"/>
      <c r="D708" s="70"/>
      <c r="E708" s="74"/>
      <c r="H708" s="1"/>
    </row>
    <row r="709" spans="1:8" ht="15" customHeight="1">
      <c r="A709" s="39"/>
      <c r="B709" s="312"/>
      <c r="C709" s="313"/>
      <c r="D709" s="212"/>
      <c r="E709" s="51">
        <f>SUM(E711:E715)</f>
        <v>14.199</v>
      </c>
      <c r="H709" s="1"/>
    </row>
    <row r="710" spans="1:18" ht="15" customHeight="1">
      <c r="A710" s="39" t="s">
        <v>5</v>
      </c>
      <c r="B710" s="299" t="s">
        <v>17</v>
      </c>
      <c r="C710" s="299"/>
      <c r="D710" s="207" t="s">
        <v>18</v>
      </c>
      <c r="E710" s="39" t="s">
        <v>7</v>
      </c>
      <c r="G710" s="92" t="str">
        <f>CONCATENATE("Cable Scrap, Lying at ",B711,". Quantity in MT - ")</f>
        <v>Cable Scrap, Lying at CS Bathinda. Quantity in MT - </v>
      </c>
      <c r="H710" s="297" t="str">
        <f ca="1">CONCATENATE(G710,G711,(INDIRECT(I711)),(INDIRECT(J711)),(INDIRECT(K711)),(INDIRECT(L711)),(INDIRECT(M711)),(INDIRECT(N711)),(INDIRECT(O711)),(INDIRECT(P711)),(INDIRECT(Q711)),(INDIRECT(R711)))</f>
        <v>Cable Scrap, Lying at CS Bathinda. Quantity in MT - 2/core PVC Alumn. Cable scrap - 0.476, 4/core PVC Alumn. Cable scrap - 2.26, 1/ core XLPE Alu cable scrap - 0.148, 3/ core XLPE Alu cable scrap - 5.991, ABC cable scrap (70/95 mm) - 5.324, </v>
      </c>
      <c r="I710" s="97" t="str">
        <f aca="true" ca="1" t="array" ref="I710">CELL("address",INDEX(G710:G734,MATCH(TRUE,ISBLANK(G710:G734),0)))</f>
        <v>$G$716</v>
      </c>
      <c r="J710" s="97">
        <f aca="true" t="array" ref="J710">MATCH(TRUE,ISBLANK(G710:G734),0)</f>
        <v>7</v>
      </c>
      <c r="K710" s="97">
        <f>J710-3</f>
        <v>4</v>
      </c>
      <c r="L710" s="97"/>
      <c r="M710" s="97"/>
      <c r="N710" s="97"/>
      <c r="O710" s="97"/>
      <c r="P710" s="97"/>
      <c r="Q710" s="97"/>
      <c r="R710" s="97"/>
    </row>
    <row r="711" spans="1:18" ht="15" customHeight="1">
      <c r="A711" s="299" t="s">
        <v>96</v>
      </c>
      <c r="B711" s="299" t="s">
        <v>63</v>
      </c>
      <c r="C711" s="299"/>
      <c r="D711" s="44" t="s">
        <v>90</v>
      </c>
      <c r="E711" s="45">
        <v>0.476</v>
      </c>
      <c r="F711" s="97"/>
      <c r="G711" s="91" t="str">
        <f>CONCATENATE(D711," - ",E711,", ")</f>
        <v>2/core PVC Alumn. Cable scrap - 0.476, </v>
      </c>
      <c r="H711" s="297"/>
      <c r="I711" s="97" t="str">
        <f ca="1">IF(J710&gt;=3,(MID(I710,2,1)&amp;MID(I710,4,3)-K710),CELL("address",Z711))</f>
        <v>G712</v>
      </c>
      <c r="J711" s="97" t="str">
        <f ca="1">IF(J710&gt;=4,(MID(I711,1,1)&amp;MID(I711,2,3)+1),CELL("address",AA711))</f>
        <v>G713</v>
      </c>
      <c r="K711" s="97" t="str">
        <f ca="1">IF(J710&gt;=5,(MID(J711,1,1)&amp;MID(J711,2,3)+1),CELL("address",AB711))</f>
        <v>G714</v>
      </c>
      <c r="L711" s="97" t="str">
        <f ca="1">IF(J710&gt;=6,(MID(K711,1,1)&amp;MID(K711,2,3)+1),CELL("address",AC711))</f>
        <v>G715</v>
      </c>
      <c r="M711" s="97" t="str">
        <f ca="1">IF(J710&gt;=7,(MID(L711,1,1)&amp;MID(L711,2,3)+1),CELL("address",AD711))</f>
        <v>G716</v>
      </c>
      <c r="N711" s="97" t="str">
        <f ca="1">IF(J710&gt;=8,(MID(M711,1,1)&amp;MID(M711,2,3)+1),CELL("address",AE711))</f>
        <v>$AE$711</v>
      </c>
      <c r="O711" s="97" t="str">
        <f ca="1">IF(J710&gt;=9,(MID(N711,1,1)&amp;MID(N711,2,3)+1),CELL("address",AF711))</f>
        <v>$AF$711</v>
      </c>
      <c r="P711" s="97" t="str">
        <f ca="1">IF(J710&gt;=10,(MID(O711,1,1)&amp;MID(O711,2,3)+1),CELL("address",AG711))</f>
        <v>$AG$711</v>
      </c>
      <c r="Q711" s="97" t="str">
        <f ca="1">IF(J710&gt;=11,(MID(P711,1,1)&amp;MID(P711,2,3)+1),CELL("address",AH711))</f>
        <v>$AH$711</v>
      </c>
      <c r="R711" s="97" t="str">
        <f ca="1">IF(J710&gt;=12,(MID(Q711,1,1)&amp;MID(Q711,2,3)+1),CELL("address",AI711))</f>
        <v>$AI$711</v>
      </c>
    </row>
    <row r="712" spans="1:15" ht="15" customHeight="1">
      <c r="A712" s="299"/>
      <c r="B712" s="299"/>
      <c r="C712" s="299"/>
      <c r="D712" s="44" t="s">
        <v>91</v>
      </c>
      <c r="E712" s="45">
        <v>2.26</v>
      </c>
      <c r="F712" s="97"/>
      <c r="G712" s="91" t="str">
        <f>CONCATENATE(D712," - ",E712,", ")</f>
        <v>4/core PVC Alumn. Cable scrap - 2.26, </v>
      </c>
      <c r="H712" s="97"/>
      <c r="I712" s="97"/>
      <c r="J712" s="97"/>
      <c r="K712" s="97"/>
      <c r="L712" s="97"/>
      <c r="M712" s="97"/>
      <c r="N712" s="97"/>
      <c r="O712" s="97"/>
    </row>
    <row r="713" spans="1:15" ht="15" customHeight="1">
      <c r="A713" s="299"/>
      <c r="B713" s="299"/>
      <c r="C713" s="299"/>
      <c r="D713" s="44" t="s">
        <v>97</v>
      </c>
      <c r="E713" s="46">
        <v>0.148</v>
      </c>
      <c r="G713" s="91" t="str">
        <f>CONCATENATE(D713," - ",E713,", ")</f>
        <v>1/ core XLPE Alu cable scrap - 0.148, </v>
      </c>
      <c r="H713" s="97"/>
      <c r="I713" s="97" t="e">
        <f ca="1">IF(G712&gt;=6,(MID(H713,1,1)&amp;MID(H713,2,3)+1),CELL("address",Z713))</f>
        <v>#VALUE!</v>
      </c>
      <c r="J713" s="97" t="e">
        <f ca="1">IF(G712&gt;=7,(MID(I713,1,1)&amp;MID(I713,2,3)+1),CELL("address",AA713))</f>
        <v>#VALUE!</v>
      </c>
      <c r="K713" s="97" t="e">
        <f ca="1">IF(G712&gt;=8,(MID(J713,1,1)&amp;MID(J713,2,3)+1),CELL("address",AB713))</f>
        <v>#VALUE!</v>
      </c>
      <c r="L713" s="97" t="e">
        <f ca="1">IF(G712&gt;=9,(MID(K713,1,1)&amp;MID(K713,2,3)+1),CELL("address",AC713))</f>
        <v>#VALUE!</v>
      </c>
      <c r="M713" s="97" t="e">
        <f ca="1">IF(G712&gt;=10,(MID(L713,1,1)&amp;MID(L713,2,3)+1),CELL("address",AD713))</f>
        <v>#VALUE!</v>
      </c>
      <c r="N713" s="97" t="e">
        <f ca="1">IF(G712&gt;=11,(MID(M713,1,1)&amp;MID(M713,2,3)+1),CELL("address",AE713))</f>
        <v>#VALUE!</v>
      </c>
      <c r="O713" s="97" t="e">
        <f ca="1">IF(G712&gt;=12,(MID(N713,1,1)&amp;MID(N713,2,3)+1),CELL("address",AF713))</f>
        <v>#VALUE!</v>
      </c>
    </row>
    <row r="714" spans="1:8" ht="15" customHeight="1">
      <c r="A714" s="299"/>
      <c r="B714" s="299"/>
      <c r="C714" s="299"/>
      <c r="D714" s="44" t="s">
        <v>92</v>
      </c>
      <c r="E714" s="184">
        <v>5.991</v>
      </c>
      <c r="G714" s="91" t="str">
        <f>CONCATENATE(D714," - ",E714,", ")</f>
        <v>3/ core XLPE Alu cable scrap - 5.991, </v>
      </c>
      <c r="H714" s="1"/>
    </row>
    <row r="715" spans="1:8" ht="15" customHeight="1">
      <c r="A715" s="299"/>
      <c r="B715" s="299"/>
      <c r="C715" s="299"/>
      <c r="D715" s="44" t="s">
        <v>168</v>
      </c>
      <c r="E715" s="184">
        <v>5.324</v>
      </c>
      <c r="G715" s="91" t="str">
        <f>CONCATENATE(D715," - ",E715,", ")</f>
        <v>ABC cable scrap (70/95 mm) - 5.324, </v>
      </c>
      <c r="H715" s="1"/>
    </row>
    <row r="716" spans="1:8" ht="15" customHeight="1">
      <c r="A716" s="38"/>
      <c r="B716" s="40"/>
      <c r="C716" s="41"/>
      <c r="D716" s="75"/>
      <c r="E716" s="76"/>
      <c r="H716" s="1"/>
    </row>
    <row r="717" spans="1:8" ht="15" customHeight="1">
      <c r="A717" s="38"/>
      <c r="B717" s="255"/>
      <c r="C717" s="256"/>
      <c r="D717" s="214"/>
      <c r="E717" s="168">
        <f>SUM(E719:E722)</f>
        <v>4.923</v>
      </c>
      <c r="H717" s="1"/>
    </row>
    <row r="718" spans="1:18" ht="15" customHeight="1">
      <c r="A718" s="39" t="s">
        <v>5</v>
      </c>
      <c r="B718" s="301" t="s">
        <v>17</v>
      </c>
      <c r="C718" s="306"/>
      <c r="D718" s="208" t="s">
        <v>18</v>
      </c>
      <c r="E718" s="38" t="s">
        <v>7</v>
      </c>
      <c r="F718" s="97"/>
      <c r="G718" s="92" t="str">
        <f>CONCATENATE("Cable Scrap, Lying at ",B719,". Quantity in MT - ")</f>
        <v>Cable Scrap, Lying at OL Mansa. Quantity in MT - </v>
      </c>
      <c r="H718" s="297" t="str">
        <f ca="1">CONCATENATE(G718,G719,(INDIRECT(I719)),(INDIRECT(J719)),(INDIRECT(K719)),(INDIRECT(L719)),(INDIRECT(M719)),(INDIRECT(N719)),(INDIRECT(O719)),(INDIRECT(P719)),(INDIRECT(Q719)),(INDIRECT(R719)))</f>
        <v>Cable Scrap, Lying at OL Mansa. Quantity in MT - 2/core PVC Alumn. Cable scrap - 0.821, 4/core PVC Alumn. Cable scrap - 2.131, 3/ core XLPE Alu cable scrap - 1.881, ABC cable scrap (70/95 mm) - 0.09, </v>
      </c>
      <c r="I718" s="97" t="str">
        <f aca="true" ca="1" t="array" ref="I718">CELL("address",INDEX(G718:G742,MATCH(TRUE,ISBLANK(G718:G742),0)))</f>
        <v>$G$723</v>
      </c>
      <c r="J718" s="97">
        <f aca="true" t="array" ref="J718">MATCH(TRUE,ISBLANK(G718:G742),0)</f>
        <v>6</v>
      </c>
      <c r="K718" s="97">
        <f>J718-3</f>
        <v>3</v>
      </c>
      <c r="L718" s="97"/>
      <c r="M718" s="97"/>
      <c r="N718" s="97"/>
      <c r="O718" s="97"/>
      <c r="P718" s="97"/>
      <c r="Q718" s="97"/>
      <c r="R718" s="97"/>
    </row>
    <row r="719" spans="1:18" ht="15" customHeight="1">
      <c r="A719" s="299" t="s">
        <v>188</v>
      </c>
      <c r="B719" s="299" t="s">
        <v>59</v>
      </c>
      <c r="C719" s="299"/>
      <c r="D719" s="44" t="s">
        <v>90</v>
      </c>
      <c r="E719" s="68">
        <v>0.821</v>
      </c>
      <c r="F719" s="97"/>
      <c r="G719" s="91" t="str">
        <f>CONCATENATE(D719," - ",E719,", ")</f>
        <v>2/core PVC Alumn. Cable scrap - 0.821, </v>
      </c>
      <c r="H719" s="297"/>
      <c r="I719" s="97" t="str">
        <f ca="1">IF(J718&gt;=3,(MID(I718,2,1)&amp;MID(I718,4,3)-K718),CELL("address",Z719))</f>
        <v>G720</v>
      </c>
      <c r="J719" s="97" t="str">
        <f ca="1">IF(J718&gt;=4,(MID(I719,1,1)&amp;MID(I719,2,3)+1),CELL("address",AA719))</f>
        <v>G721</v>
      </c>
      <c r="K719" s="97" t="str">
        <f ca="1">IF(J718&gt;=5,(MID(J719,1,1)&amp;MID(J719,2,3)+1),CELL("address",AB719))</f>
        <v>G722</v>
      </c>
      <c r="L719" s="97" t="str">
        <f ca="1">IF(J718&gt;=6,(MID(K719,1,1)&amp;MID(K719,2,3)+1),CELL("address",AC719))</f>
        <v>G723</v>
      </c>
      <c r="M719" s="97" t="str">
        <f ca="1">IF(J718&gt;=7,(MID(L719,1,1)&amp;MID(L719,2,3)+1),CELL("address",AD719))</f>
        <v>$AD$719</v>
      </c>
      <c r="N719" s="97" t="str">
        <f ca="1">IF(J718&gt;=8,(MID(M719,1,1)&amp;MID(M719,2,3)+1),CELL("address",AE719))</f>
        <v>$AE$719</v>
      </c>
      <c r="O719" s="97" t="str">
        <f ca="1">IF(J718&gt;=9,(MID(N719,1,1)&amp;MID(N719,2,3)+1),CELL("address",AF719))</f>
        <v>$AF$719</v>
      </c>
      <c r="P719" s="97" t="str">
        <f ca="1">IF(J718&gt;=10,(MID(O719,1,1)&amp;MID(O719,2,3)+1),CELL("address",AG719))</f>
        <v>$AG$719</v>
      </c>
      <c r="Q719" s="97" t="str">
        <f ca="1">IF(J718&gt;=11,(MID(P719,1,1)&amp;MID(P719,2,3)+1),CELL("address",AH719))</f>
        <v>$AH$719</v>
      </c>
      <c r="R719" s="97" t="str">
        <f ca="1">IF(J718&gt;=12,(MID(Q719,1,1)&amp;MID(Q719,2,3)+1),CELL("address",AI719))</f>
        <v>$AI$719</v>
      </c>
    </row>
    <row r="720" spans="1:15" ht="15" customHeight="1">
      <c r="A720" s="299"/>
      <c r="B720" s="299"/>
      <c r="C720" s="299"/>
      <c r="D720" s="44" t="s">
        <v>91</v>
      </c>
      <c r="E720" s="68">
        <v>2.131</v>
      </c>
      <c r="G720" s="91" t="str">
        <f>CONCATENATE(D720," - ",E720,", ")</f>
        <v>4/core PVC Alumn. Cable scrap - 2.131, </v>
      </c>
      <c r="H720" s="97"/>
      <c r="I720" s="97" t="e">
        <f ca="1">IF(G719&gt;=6,(MID(H720,1,1)&amp;MID(H720,2,3)+1),CELL("address",Z720))</f>
        <v>#VALUE!</v>
      </c>
      <c r="J720" s="97" t="e">
        <f ca="1">IF(G719&gt;=7,(MID(I720,1,1)&amp;MID(I720,2,3)+1),CELL("address",AA720))</f>
        <v>#VALUE!</v>
      </c>
      <c r="K720" s="97" t="e">
        <f ca="1">IF(G719&gt;=8,(MID(J720,1,1)&amp;MID(J720,2,3)+1),CELL("address",AB720))</f>
        <v>#VALUE!</v>
      </c>
      <c r="L720" s="97" t="e">
        <f ca="1">IF(G719&gt;=9,(MID(K720,1,1)&amp;MID(K720,2,3)+1),CELL("address",AC720))</f>
        <v>#VALUE!</v>
      </c>
      <c r="M720" s="97" t="e">
        <f ca="1">IF(G719&gt;=10,(MID(L720,1,1)&amp;MID(L720,2,3)+1),CELL("address",AD720))</f>
        <v>#VALUE!</v>
      </c>
      <c r="N720" s="97" t="e">
        <f ca="1">IF(G719&gt;=11,(MID(M720,1,1)&amp;MID(M720,2,3)+1),CELL("address",AE720))</f>
        <v>#VALUE!</v>
      </c>
      <c r="O720" s="97" t="e">
        <f ca="1">IF(G719&gt;=12,(MID(N720,1,1)&amp;MID(N720,2,3)+1),CELL("address",AF720))</f>
        <v>#VALUE!</v>
      </c>
    </row>
    <row r="721" spans="1:8" ht="15" customHeight="1">
      <c r="A721" s="299"/>
      <c r="B721" s="299"/>
      <c r="C721" s="299"/>
      <c r="D721" s="44" t="s">
        <v>92</v>
      </c>
      <c r="E721" s="68">
        <v>1.881</v>
      </c>
      <c r="G721" s="91" t="str">
        <f>CONCATENATE(D721," - ",E721,", ")</f>
        <v>3/ core XLPE Alu cable scrap - 1.881, </v>
      </c>
      <c r="H721" s="1"/>
    </row>
    <row r="722" spans="1:8" ht="15" customHeight="1">
      <c r="A722" s="299"/>
      <c r="B722" s="299"/>
      <c r="C722" s="299"/>
      <c r="D722" s="44" t="s">
        <v>168</v>
      </c>
      <c r="E722" s="169">
        <v>0.09</v>
      </c>
      <c r="G722" s="91" t="str">
        <f>CONCATENATE(D722," - ",E722,", ")</f>
        <v>ABC cable scrap (70/95 mm) - 0.09, </v>
      </c>
      <c r="H722" s="1"/>
    </row>
    <row r="723" spans="1:8" ht="15" customHeight="1">
      <c r="A723" s="38"/>
      <c r="B723" s="40"/>
      <c r="C723" s="41"/>
      <c r="D723" s="75"/>
      <c r="E723" s="170"/>
      <c r="H723" s="1"/>
    </row>
    <row r="724" spans="1:8" ht="15" customHeight="1">
      <c r="A724" s="38"/>
      <c r="B724" s="255"/>
      <c r="C724" s="256"/>
      <c r="D724" s="214"/>
      <c r="E724" s="168">
        <f>SUM(E726:E729)</f>
        <v>13.115</v>
      </c>
      <c r="H724" s="1"/>
    </row>
    <row r="725" spans="1:18" ht="15" customHeight="1">
      <c r="A725" s="39" t="s">
        <v>5</v>
      </c>
      <c r="B725" s="301" t="s">
        <v>17</v>
      </c>
      <c r="C725" s="306"/>
      <c r="D725" s="208" t="s">
        <v>18</v>
      </c>
      <c r="E725" s="38" t="s">
        <v>7</v>
      </c>
      <c r="F725" s="97"/>
      <c r="G725" s="92" t="str">
        <f>CONCATENATE("Cable Scrap, Lying at ",B726,". Quantity in MT - ")</f>
        <v>Cable Scrap, Lying at CS Kotkapura. Quantity in MT - </v>
      </c>
      <c r="H725" s="297" t="str">
        <f ca="1">CONCATENATE(G725,G726,(INDIRECT(I726)),(INDIRECT(J726)),(INDIRECT(K726)),(INDIRECT(L726)),(INDIRECT(M726)),(INDIRECT(N726)),(INDIRECT(O726)),(INDIRECT(P726)),(INDIRECT(Q726)),(INDIRECT(R726)))</f>
        <v>Cable Scrap, Lying at CS Kotkapura. Quantity in MT - 2/core PVC Alumn. Cable scrap - 1.616, 4/core PVC Alumn. Cable scrap - 3.056, 3/ core XLPE Alu cable scrap - 8.362, 1/ core XLPE Alu cable scrap - 0.081, </v>
      </c>
      <c r="I725" s="97" t="str">
        <f aca="true" ca="1" t="array" ref="I725">CELL("address",INDEX(G725:G750,MATCH(TRUE,ISBLANK(G725:G750),0)))</f>
        <v>$G$730</v>
      </c>
      <c r="J725" s="97">
        <f aca="true" t="array" ref="J725">MATCH(TRUE,ISBLANK(G725:G750),0)</f>
        <v>6</v>
      </c>
      <c r="K725" s="97">
        <f>J725-3</f>
        <v>3</v>
      </c>
      <c r="L725" s="97"/>
      <c r="M725" s="97"/>
      <c r="N725" s="97"/>
      <c r="O725" s="97"/>
      <c r="P725" s="97"/>
      <c r="Q725" s="97"/>
      <c r="R725" s="97"/>
    </row>
    <row r="726" spans="1:18" ht="15" customHeight="1">
      <c r="A726" s="299" t="s">
        <v>190</v>
      </c>
      <c r="B726" s="299" t="s">
        <v>43</v>
      </c>
      <c r="C726" s="299"/>
      <c r="D726" s="44" t="s">
        <v>90</v>
      </c>
      <c r="E726" s="68">
        <v>1.616</v>
      </c>
      <c r="F726" s="97"/>
      <c r="G726" s="91" t="str">
        <f>CONCATENATE(D726," - ",E726,", ")</f>
        <v>2/core PVC Alumn. Cable scrap - 1.616, </v>
      </c>
      <c r="H726" s="297"/>
      <c r="I726" s="97" t="str">
        <f ca="1">IF(J725&gt;=3,(MID(I725,2,1)&amp;MID(I725,4,3)-K725),CELL("address",Z726))</f>
        <v>G727</v>
      </c>
      <c r="J726" s="97" t="str">
        <f ca="1">IF(J725&gt;=4,(MID(I726,1,1)&amp;MID(I726,2,3)+1),CELL("address",AA726))</f>
        <v>G728</v>
      </c>
      <c r="K726" s="97" t="str">
        <f ca="1">IF(J725&gt;=5,(MID(J726,1,1)&amp;MID(J726,2,3)+1),CELL("address",AB726))</f>
        <v>G729</v>
      </c>
      <c r="L726" s="97" t="str">
        <f ca="1">IF(J725&gt;=6,(MID(K726,1,1)&amp;MID(K726,2,3)+1),CELL("address",AC726))</f>
        <v>G730</v>
      </c>
      <c r="M726" s="97" t="str">
        <f ca="1">IF(J725&gt;=7,(MID(L726,1,1)&amp;MID(L726,2,3)+1),CELL("address",AD726))</f>
        <v>$AD$726</v>
      </c>
      <c r="N726" s="97" t="str">
        <f ca="1">IF(J725&gt;=8,(MID(M726,1,1)&amp;MID(M726,2,3)+1),CELL("address",AE726))</f>
        <v>$AE$726</v>
      </c>
      <c r="O726" s="97" t="str">
        <f ca="1">IF(J725&gt;=9,(MID(N726,1,1)&amp;MID(N726,2,3)+1),CELL("address",AF726))</f>
        <v>$AF$726</v>
      </c>
      <c r="P726" s="97" t="str">
        <f ca="1">IF(J725&gt;=10,(MID(O726,1,1)&amp;MID(O726,2,3)+1),CELL("address",AG726))</f>
        <v>$AG$726</v>
      </c>
      <c r="Q726" s="97" t="str">
        <f ca="1">IF(J725&gt;=11,(MID(P726,1,1)&amp;MID(P726,2,3)+1),CELL("address",AH726))</f>
        <v>$AH$726</v>
      </c>
      <c r="R726" s="97" t="str">
        <f ca="1">IF(J725&gt;=12,(MID(Q726,1,1)&amp;MID(Q726,2,3)+1),CELL("address",AI726))</f>
        <v>$AI$726</v>
      </c>
    </row>
    <row r="727" spans="1:15" ht="15" customHeight="1">
      <c r="A727" s="299"/>
      <c r="B727" s="299"/>
      <c r="C727" s="299"/>
      <c r="D727" s="44" t="s">
        <v>91</v>
      </c>
      <c r="E727" s="68">
        <v>3.056</v>
      </c>
      <c r="G727" s="91" t="str">
        <f>CONCATENATE(D727," - ",E727,", ")</f>
        <v>4/core PVC Alumn. Cable scrap - 3.056, </v>
      </c>
      <c r="H727" s="97"/>
      <c r="I727" s="97" t="e">
        <f ca="1">IF(G726&gt;=6,(MID(H727,1,1)&amp;MID(H727,2,3)+1),CELL("address",Z727))</f>
        <v>#VALUE!</v>
      </c>
      <c r="J727" s="97" t="e">
        <f ca="1">IF(G726&gt;=7,(MID(I727,1,1)&amp;MID(I727,2,3)+1),CELL("address",AA727))</f>
        <v>#VALUE!</v>
      </c>
      <c r="K727" s="97" t="e">
        <f ca="1">IF(G726&gt;=8,(MID(J727,1,1)&amp;MID(J727,2,3)+1),CELL("address",AB727))</f>
        <v>#VALUE!</v>
      </c>
      <c r="L727" s="97" t="e">
        <f ca="1">IF(G726&gt;=9,(MID(K727,1,1)&amp;MID(K727,2,3)+1),CELL("address",AC727))</f>
        <v>#VALUE!</v>
      </c>
      <c r="M727" s="97" t="e">
        <f ca="1">IF(G726&gt;=10,(MID(L727,1,1)&amp;MID(L727,2,3)+1),CELL("address",AD727))</f>
        <v>#VALUE!</v>
      </c>
      <c r="N727" s="97" t="e">
        <f ca="1">IF(G726&gt;=11,(MID(M727,1,1)&amp;MID(M727,2,3)+1),CELL("address",AE727))</f>
        <v>#VALUE!</v>
      </c>
      <c r="O727" s="97" t="e">
        <f ca="1">IF(G726&gt;=12,(MID(N727,1,1)&amp;MID(N727,2,3)+1),CELL("address",AF727))</f>
        <v>#VALUE!</v>
      </c>
    </row>
    <row r="728" spans="1:8" ht="15" customHeight="1">
      <c r="A728" s="299"/>
      <c r="B728" s="299"/>
      <c r="C728" s="299"/>
      <c r="D728" s="44" t="s">
        <v>92</v>
      </c>
      <c r="E728" s="118">
        <v>8.362</v>
      </c>
      <c r="G728" s="91" t="str">
        <f>CONCATENATE(D728," - ",E728,", ")</f>
        <v>3/ core XLPE Alu cable scrap - 8.362, </v>
      </c>
      <c r="H728" s="1"/>
    </row>
    <row r="729" spans="1:8" ht="15" customHeight="1">
      <c r="A729" s="299"/>
      <c r="B729" s="299"/>
      <c r="C729" s="299"/>
      <c r="D729" s="44" t="s">
        <v>97</v>
      </c>
      <c r="E729" s="118">
        <v>0.081</v>
      </c>
      <c r="G729" s="91" t="str">
        <f>CONCATENATE(D729," - ",E729,", ")</f>
        <v>1/ core XLPE Alu cable scrap - 0.081, </v>
      </c>
      <c r="H729" s="1"/>
    </row>
    <row r="730" spans="1:8" ht="15" customHeight="1">
      <c r="A730" s="38"/>
      <c r="B730" s="40"/>
      <c r="C730" s="41"/>
      <c r="D730" s="33"/>
      <c r="E730" s="156"/>
      <c r="H730" s="1"/>
    </row>
    <row r="731" spans="1:8" ht="15" customHeight="1">
      <c r="A731" s="38"/>
      <c r="B731" s="255"/>
      <c r="C731" s="256"/>
      <c r="D731" s="214"/>
      <c r="E731" s="168">
        <f>SUM(E733:E736)</f>
        <v>4.889</v>
      </c>
      <c r="H731" s="1"/>
    </row>
    <row r="732" spans="1:18" ht="15" customHeight="1">
      <c r="A732" s="39" t="s">
        <v>5</v>
      </c>
      <c r="B732" s="301" t="s">
        <v>17</v>
      </c>
      <c r="C732" s="306"/>
      <c r="D732" s="208" t="s">
        <v>18</v>
      </c>
      <c r="E732" s="38" t="s">
        <v>7</v>
      </c>
      <c r="F732" s="97"/>
      <c r="G732" s="92" t="str">
        <f>CONCATENATE("Cable Scrap, Lying at ",B733,". Quantity in MT - ")</f>
        <v>Cable Scrap, Lying at OL Patran. Quantity in MT - </v>
      </c>
      <c r="H732" s="297" t="str">
        <f ca="1">CONCATENATE(G732,G733,(INDIRECT(I733)),(INDIRECT(J733)),(INDIRECT(K733)),(INDIRECT(L733)),(INDIRECT(M733)),(INDIRECT(N733)),(INDIRECT(O733)),(INDIRECT(P733)),(INDIRECT(Q733)),(INDIRECT(R733)))</f>
        <v>Cable Scrap, Lying at OL Patran. Quantity in MT - 2/core PVC Alumn. Cable scrap - 0.791, 4/core PVC Alumn. Cable scrap - 1.325, 3/ core XLPE Alu cable scrap - 2.508, ABC cable scrap (150 mm) - 0.265, </v>
      </c>
      <c r="I732" s="97" t="str">
        <f aca="true" ca="1" t="array" ref="I732">CELL("address",INDEX(G732:G757,MATCH(TRUE,ISBLANK(G732:G757),0)))</f>
        <v>$G$737</v>
      </c>
      <c r="J732" s="97">
        <f aca="true" t="array" ref="J732">MATCH(TRUE,ISBLANK(G732:G757),0)</f>
        <v>6</v>
      </c>
      <c r="K732" s="97">
        <f>J732-3</f>
        <v>3</v>
      </c>
      <c r="L732" s="97"/>
      <c r="M732" s="97"/>
      <c r="N732" s="97"/>
      <c r="O732" s="97"/>
      <c r="P732" s="97"/>
      <c r="Q732" s="97"/>
      <c r="R732" s="97"/>
    </row>
    <row r="733" spans="1:18" ht="15" customHeight="1">
      <c r="A733" s="299" t="s">
        <v>167</v>
      </c>
      <c r="B733" s="299" t="s">
        <v>102</v>
      </c>
      <c r="C733" s="299"/>
      <c r="D733" s="44" t="s">
        <v>90</v>
      </c>
      <c r="E733" s="68">
        <v>0.791</v>
      </c>
      <c r="F733" s="97"/>
      <c r="G733" s="91" t="str">
        <f>CONCATENATE(D733," - ",E733,", ")</f>
        <v>2/core PVC Alumn. Cable scrap - 0.791, </v>
      </c>
      <c r="H733" s="297"/>
      <c r="I733" s="97" t="str">
        <f ca="1">IF(J732&gt;=3,(MID(I732,2,1)&amp;MID(I732,4,3)-K732),CELL("address",Z733))</f>
        <v>G734</v>
      </c>
      <c r="J733" s="97" t="str">
        <f ca="1">IF(J732&gt;=4,(MID(I733,1,1)&amp;MID(I733,2,3)+1),CELL("address",AA733))</f>
        <v>G735</v>
      </c>
      <c r="K733" s="97" t="str">
        <f ca="1">IF(J732&gt;=5,(MID(J733,1,1)&amp;MID(J733,2,3)+1),CELL("address",AB733))</f>
        <v>G736</v>
      </c>
      <c r="L733" s="97" t="str">
        <f ca="1">IF(J732&gt;=6,(MID(K733,1,1)&amp;MID(K733,2,3)+1),CELL("address",AC733))</f>
        <v>G737</v>
      </c>
      <c r="M733" s="97" t="str">
        <f ca="1">IF(J732&gt;=7,(MID(L733,1,1)&amp;MID(L733,2,3)+1),CELL("address",AD733))</f>
        <v>$AD$733</v>
      </c>
      <c r="N733" s="97" t="str">
        <f ca="1">IF(J732&gt;=8,(MID(M733,1,1)&amp;MID(M733,2,3)+1),CELL("address",AE733))</f>
        <v>$AE$733</v>
      </c>
      <c r="O733" s="97" t="str">
        <f ca="1">IF(J732&gt;=9,(MID(N733,1,1)&amp;MID(N733,2,3)+1),CELL("address",AF733))</f>
        <v>$AF$733</v>
      </c>
      <c r="P733" s="97" t="str">
        <f ca="1">IF(J732&gt;=10,(MID(O733,1,1)&amp;MID(O733,2,3)+1),CELL("address",AG733))</f>
        <v>$AG$733</v>
      </c>
      <c r="Q733" s="97" t="str">
        <f ca="1">IF(J732&gt;=11,(MID(P733,1,1)&amp;MID(P733,2,3)+1),CELL("address",AH733))</f>
        <v>$AH$733</v>
      </c>
      <c r="R733" s="97" t="str">
        <f ca="1">IF(J732&gt;=12,(MID(Q733,1,1)&amp;MID(Q733,2,3)+1),CELL("address",AI733))</f>
        <v>$AI$733</v>
      </c>
    </row>
    <row r="734" spans="1:15" ht="15" customHeight="1">
      <c r="A734" s="299"/>
      <c r="B734" s="299"/>
      <c r="C734" s="299"/>
      <c r="D734" s="44" t="s">
        <v>91</v>
      </c>
      <c r="E734" s="68">
        <v>1.325</v>
      </c>
      <c r="G734" s="91" t="str">
        <f>CONCATENATE(D734," - ",E734,", ")</f>
        <v>4/core PVC Alumn. Cable scrap - 1.325, </v>
      </c>
      <c r="H734" s="97"/>
      <c r="I734" s="97" t="e">
        <f ca="1">IF(G733&gt;=6,(MID(H734,1,1)&amp;MID(H734,2,3)+1),CELL("address",Z734))</f>
        <v>#VALUE!</v>
      </c>
      <c r="J734" s="97" t="e">
        <f ca="1">IF(G733&gt;=7,(MID(I734,1,1)&amp;MID(I734,2,3)+1),CELL("address",AA734))</f>
        <v>#VALUE!</v>
      </c>
      <c r="K734" s="97" t="e">
        <f ca="1">IF(G733&gt;=8,(MID(J734,1,1)&amp;MID(J734,2,3)+1),CELL("address",AB734))</f>
        <v>#VALUE!</v>
      </c>
      <c r="L734" s="97" t="e">
        <f ca="1">IF(G733&gt;=9,(MID(K734,1,1)&amp;MID(K734,2,3)+1),CELL("address",AC734))</f>
        <v>#VALUE!</v>
      </c>
      <c r="M734" s="97" t="e">
        <f ca="1">IF(G733&gt;=10,(MID(L734,1,1)&amp;MID(L734,2,3)+1),CELL("address",AD734))</f>
        <v>#VALUE!</v>
      </c>
      <c r="N734" s="97" t="e">
        <f ca="1">IF(G733&gt;=11,(MID(M734,1,1)&amp;MID(M734,2,3)+1),CELL("address",AE734))</f>
        <v>#VALUE!</v>
      </c>
      <c r="O734" s="97" t="e">
        <f ca="1">IF(G733&gt;=12,(MID(N734,1,1)&amp;MID(N734,2,3)+1),CELL("address",AF734))</f>
        <v>#VALUE!</v>
      </c>
    </row>
    <row r="735" spans="1:8" ht="15" customHeight="1">
      <c r="A735" s="299"/>
      <c r="B735" s="299"/>
      <c r="C735" s="299"/>
      <c r="D735" s="44" t="s">
        <v>92</v>
      </c>
      <c r="E735" s="68">
        <v>2.508</v>
      </c>
      <c r="G735" s="91" t="str">
        <f>CONCATENATE(D735," - ",E735,", ")</f>
        <v>3/ core XLPE Alu cable scrap - 2.508, </v>
      </c>
      <c r="H735" s="1"/>
    </row>
    <row r="736" spans="1:8" ht="15" customHeight="1">
      <c r="A736" s="299"/>
      <c r="B736" s="299"/>
      <c r="C736" s="299"/>
      <c r="D736" s="44" t="s">
        <v>244</v>
      </c>
      <c r="E736" s="68">
        <v>0.265</v>
      </c>
      <c r="G736" s="91" t="str">
        <f>CONCATENATE(D736," - ",E736,", ")</f>
        <v>ABC cable scrap (150 mm) - 0.265, </v>
      </c>
      <c r="H736" s="1"/>
    </row>
    <row r="737" spans="1:8" ht="15" customHeight="1">
      <c r="A737" s="38"/>
      <c r="B737" s="40"/>
      <c r="C737" s="41"/>
      <c r="D737" s="33"/>
      <c r="E737" s="156"/>
      <c r="F737" s="119"/>
      <c r="H737" s="1"/>
    </row>
    <row r="738" spans="1:8" ht="15" customHeight="1">
      <c r="A738" s="38"/>
      <c r="B738" s="47"/>
      <c r="C738" s="254"/>
      <c r="D738" s="212"/>
      <c r="E738" s="171">
        <f>SUM(E740:E745)</f>
        <v>4.734</v>
      </c>
      <c r="H738" s="1"/>
    </row>
    <row r="739" spans="1:18" ht="15" customHeight="1">
      <c r="A739" s="39" t="s">
        <v>5</v>
      </c>
      <c r="B739" s="301" t="s">
        <v>17</v>
      </c>
      <c r="C739" s="306"/>
      <c r="D739" s="208" t="s">
        <v>18</v>
      </c>
      <c r="E739" s="38" t="s">
        <v>7</v>
      </c>
      <c r="G739" s="92" t="str">
        <f>CONCATENATE("Cable Scrap, Lying at ",B740,". Quantity in MT - ")</f>
        <v>Cable Scrap, Lying at OL Ropar. Quantity in MT - </v>
      </c>
      <c r="H739" s="297" t="str">
        <f ca="1">CONCATENATE(G739,G740,(INDIRECT(I740)),(INDIRECT(J740)),(INDIRECT(K740)),(INDIRECT(L740)),(INDIRECT(M740)),(INDIRECT(N740)),(INDIRECT(O740)),(INDIRECT(P740)),(INDIRECT(Q740)),(INDIRECT(R740)))</f>
        <v>Cable Scrap, Lying at OL Ropar. Quantity in MT - 2/core PVC Alumn. Cable scrap - 0.788, 4/core PVC Alumn. Cable scrap - 0.812, 3/ core XLPE Alu cable scrap - 2.231, 1/core PVC Alumn. Cable scrap - 0.087, Alu.  seals scrap with lash wire - 0.066, 1/ core XLPE Alu cable scrap - 0.75, </v>
      </c>
      <c r="I739" s="97" t="str">
        <f aca="true" ca="1" t="array" ref="I739">CELL("address",INDEX(G739:G764,MATCH(TRUE,ISBLANK(G739:G764),0)))</f>
        <v>$G$746</v>
      </c>
      <c r="J739" s="97">
        <f aca="true" t="array" ref="J739">MATCH(TRUE,ISBLANK(G739:G764),0)</f>
        <v>8</v>
      </c>
      <c r="K739" s="97">
        <f>J739-3</f>
        <v>5</v>
      </c>
      <c r="L739" s="97"/>
      <c r="M739" s="97"/>
      <c r="N739" s="97"/>
      <c r="O739" s="97"/>
      <c r="P739" s="97"/>
      <c r="Q739" s="97"/>
      <c r="R739" s="97"/>
    </row>
    <row r="740" spans="1:18" ht="15" customHeight="1">
      <c r="A740" s="299" t="s">
        <v>169</v>
      </c>
      <c r="B740" s="299" t="s">
        <v>98</v>
      </c>
      <c r="C740" s="299"/>
      <c r="D740" s="44" t="s">
        <v>90</v>
      </c>
      <c r="E740" s="118">
        <v>0.788</v>
      </c>
      <c r="F740" s="97"/>
      <c r="G740" s="91" t="str">
        <f aca="true" t="shared" si="2" ref="G740:G745">CONCATENATE(D740," - ",E740,", ")</f>
        <v>2/core PVC Alumn. Cable scrap - 0.788, </v>
      </c>
      <c r="H740" s="297"/>
      <c r="I740" s="97" t="str">
        <f ca="1">IF(J739&gt;=3,(MID(I739,2,1)&amp;MID(I739,4,3)-K739),CELL("address",Z740))</f>
        <v>G741</v>
      </c>
      <c r="J740" s="97" t="str">
        <f ca="1">IF(J739&gt;=4,(MID(I740,1,1)&amp;MID(I740,2,3)+1),CELL("address",AA740))</f>
        <v>G742</v>
      </c>
      <c r="K740" s="97" t="str">
        <f ca="1">IF(J739&gt;=5,(MID(J740,1,1)&amp;MID(J740,2,3)+1),CELL("address",AB740))</f>
        <v>G743</v>
      </c>
      <c r="L740" s="97" t="str">
        <f ca="1">IF(J739&gt;=6,(MID(K740,1,1)&amp;MID(K740,2,3)+1),CELL("address",AC740))</f>
        <v>G744</v>
      </c>
      <c r="M740" s="97" t="str">
        <f ca="1">IF(J739&gt;=7,(MID(L740,1,1)&amp;MID(L740,2,3)+1),CELL("address",AD740))</f>
        <v>G745</v>
      </c>
      <c r="N740" s="97" t="str">
        <f ca="1">IF(J739&gt;=8,(MID(M740,1,1)&amp;MID(M740,2,3)+1),CELL("address",AE740))</f>
        <v>G746</v>
      </c>
      <c r="O740" s="97" t="str">
        <f ca="1">IF(J739&gt;=9,(MID(N740,1,1)&amp;MID(N740,2,3)+1),CELL("address",AF740))</f>
        <v>$AF$740</v>
      </c>
      <c r="P740" s="97" t="str">
        <f ca="1">IF(J739&gt;=10,(MID(O740,1,1)&amp;MID(O740,2,3)+1),CELL("address",AG740))</f>
        <v>$AG$740</v>
      </c>
      <c r="Q740" s="97" t="str">
        <f ca="1">IF(J739&gt;=11,(MID(P740,1,1)&amp;MID(P740,2,3)+1),CELL("address",AH740))</f>
        <v>$AH$740</v>
      </c>
      <c r="R740" s="97" t="str">
        <f ca="1">IF(J739&gt;=12,(MID(Q740,1,1)&amp;MID(Q740,2,3)+1),CELL("address",AI740))</f>
        <v>$AI$740</v>
      </c>
    </row>
    <row r="741" spans="1:15" ht="15" customHeight="1">
      <c r="A741" s="299"/>
      <c r="B741" s="299"/>
      <c r="C741" s="299"/>
      <c r="D741" s="44" t="s">
        <v>91</v>
      </c>
      <c r="E741" s="118">
        <v>0.812</v>
      </c>
      <c r="F741" s="97"/>
      <c r="G741" s="91" t="str">
        <f t="shared" si="2"/>
        <v>4/core PVC Alumn. Cable scrap - 0.812, </v>
      </c>
      <c r="H741" s="97"/>
      <c r="I741" s="97"/>
      <c r="J741" s="97"/>
      <c r="K741" s="97"/>
      <c r="L741" s="97"/>
      <c r="M741" s="97"/>
      <c r="N741" s="97"/>
      <c r="O741" s="97"/>
    </row>
    <row r="742" spans="1:15" ht="15" customHeight="1">
      <c r="A742" s="299"/>
      <c r="B742" s="299"/>
      <c r="C742" s="299"/>
      <c r="D742" s="44" t="s">
        <v>92</v>
      </c>
      <c r="E742" s="118">
        <v>2.231</v>
      </c>
      <c r="G742" s="91" t="str">
        <f t="shared" si="2"/>
        <v>3/ core XLPE Alu cable scrap - 2.231, </v>
      </c>
      <c r="H742" s="97"/>
      <c r="I742" s="97" t="e">
        <f ca="1">IF(G741&gt;=6,(MID(H742,1,1)&amp;MID(H742,2,3)+1),CELL("address",Z742))</f>
        <v>#VALUE!</v>
      </c>
      <c r="J742" s="97" t="e">
        <f ca="1">IF(G741&gt;=7,(MID(I742,1,1)&amp;MID(I742,2,3)+1),CELL("address",AA742))</f>
        <v>#VALUE!</v>
      </c>
      <c r="K742" s="97" t="e">
        <f ca="1">IF(G741&gt;=8,(MID(J742,1,1)&amp;MID(J742,2,3)+1),CELL("address",AB742))</f>
        <v>#VALUE!</v>
      </c>
      <c r="L742" s="97" t="e">
        <f ca="1">IF(G741&gt;=9,(MID(K742,1,1)&amp;MID(K742,2,3)+1),CELL("address",AC742))</f>
        <v>#VALUE!</v>
      </c>
      <c r="M742" s="97" t="e">
        <f ca="1">IF(G741&gt;=10,(MID(L742,1,1)&amp;MID(L742,2,3)+1),CELL("address",AD742))</f>
        <v>#VALUE!</v>
      </c>
      <c r="N742" s="97" t="e">
        <f ca="1">IF(G741&gt;=11,(MID(M742,1,1)&amp;MID(M742,2,3)+1),CELL("address",AE742))</f>
        <v>#VALUE!</v>
      </c>
      <c r="O742" s="97" t="e">
        <f ca="1">IF(G741&gt;=12,(MID(N742,1,1)&amp;MID(N742,2,3)+1),CELL("address",AF742))</f>
        <v>#VALUE!</v>
      </c>
    </row>
    <row r="743" spans="1:8" ht="15" customHeight="1">
      <c r="A743" s="299"/>
      <c r="B743" s="299"/>
      <c r="C743" s="299"/>
      <c r="D743" s="44" t="s">
        <v>171</v>
      </c>
      <c r="E743" s="118">
        <v>0.087</v>
      </c>
      <c r="G743" s="91" t="str">
        <f t="shared" si="2"/>
        <v>1/core PVC Alumn. Cable scrap - 0.087, </v>
      </c>
      <c r="H743" s="1"/>
    </row>
    <row r="744" spans="1:8" ht="15" customHeight="1">
      <c r="A744" s="299"/>
      <c r="B744" s="299"/>
      <c r="C744" s="299"/>
      <c r="D744" s="44" t="s">
        <v>320</v>
      </c>
      <c r="E744" s="118">
        <v>0.066</v>
      </c>
      <c r="G744" s="91" t="str">
        <f t="shared" si="2"/>
        <v>Alu.  seals scrap with lash wire - 0.066, </v>
      </c>
      <c r="H744" s="1"/>
    </row>
    <row r="745" spans="1:8" ht="15" customHeight="1">
      <c r="A745" s="299"/>
      <c r="B745" s="299"/>
      <c r="C745" s="299"/>
      <c r="D745" s="44" t="s">
        <v>97</v>
      </c>
      <c r="E745" s="118">
        <v>0.75</v>
      </c>
      <c r="G745" s="91" t="str">
        <f t="shared" si="2"/>
        <v>1/ core XLPE Alu cable scrap - 0.75, </v>
      </c>
      <c r="H745" s="1"/>
    </row>
    <row r="746" spans="1:8" ht="15" customHeight="1">
      <c r="A746" s="38"/>
      <c r="B746" s="40"/>
      <c r="C746" s="41"/>
      <c r="D746" s="33"/>
      <c r="E746" s="156"/>
      <c r="H746" s="1"/>
    </row>
    <row r="747" spans="1:8" ht="15" customHeight="1">
      <c r="A747" s="38"/>
      <c r="B747" s="47"/>
      <c r="C747" s="254"/>
      <c r="D747" s="212"/>
      <c r="E747" s="171">
        <f>SUM(E749:E751)</f>
        <v>8.059000000000001</v>
      </c>
      <c r="F747" s="97"/>
      <c r="H747" s="1"/>
    </row>
    <row r="748" spans="1:18" ht="15" customHeight="1">
      <c r="A748" s="39" t="s">
        <v>5</v>
      </c>
      <c r="B748" s="301" t="s">
        <v>17</v>
      </c>
      <c r="C748" s="306"/>
      <c r="D748" s="208" t="s">
        <v>18</v>
      </c>
      <c r="E748" s="38" t="s">
        <v>7</v>
      </c>
      <c r="F748" s="97"/>
      <c r="G748" s="92" t="str">
        <f>CONCATENATE("Cable Scrap, Lying at ",B749,". Quantity in MT - ")</f>
        <v>Cable Scrap, Lying at CS Malout. Quantity in MT - </v>
      </c>
      <c r="H748" s="297" t="str">
        <f ca="1">CONCATENATE(G748,G749,(INDIRECT(I749)),(INDIRECT(J749)),(INDIRECT(K749)),(INDIRECT(L749)),(INDIRECT(M749)),(INDIRECT(N749)),(INDIRECT(O749)),(INDIRECT(P749)),(INDIRECT(Q749)),(INDIRECT(R749)))</f>
        <v>Cable Scrap, Lying at CS Malout. Quantity in MT - 2/core PVC Alumn. Cable scrap - 1.4, 4/core PVC Alumn. Cable scrap - 1.941, 3/ core XLPE Alu cable scrap - 4.718, </v>
      </c>
      <c r="I748" s="97" t="str">
        <f aca="true" ca="1" t="array" ref="I748">CELL("address",INDEX(G748:G772,MATCH(TRUE,ISBLANK(G748:G772),0)))</f>
        <v>$G$752</v>
      </c>
      <c r="J748" s="97">
        <f aca="true" t="array" ref="J748">MATCH(TRUE,ISBLANK(G748:G772),0)</f>
        <v>5</v>
      </c>
      <c r="K748" s="97">
        <f>J748-3</f>
        <v>2</v>
      </c>
      <c r="L748" s="97"/>
      <c r="M748" s="97"/>
      <c r="N748" s="97"/>
      <c r="O748" s="97"/>
      <c r="P748" s="97"/>
      <c r="Q748" s="97"/>
      <c r="R748" s="97"/>
    </row>
    <row r="749" spans="1:18" ht="15" customHeight="1">
      <c r="A749" s="299" t="s">
        <v>170</v>
      </c>
      <c r="B749" s="299" t="s">
        <v>95</v>
      </c>
      <c r="C749" s="299"/>
      <c r="D749" s="44" t="s">
        <v>90</v>
      </c>
      <c r="E749" s="118">
        <v>1.4</v>
      </c>
      <c r="G749" s="91" t="str">
        <f>CONCATENATE(D749," - ",E749,", ")</f>
        <v>2/core PVC Alumn. Cable scrap - 1.4, </v>
      </c>
      <c r="H749" s="297"/>
      <c r="I749" s="97" t="str">
        <f ca="1">IF(J748&gt;=3,(MID(I748,2,1)&amp;MID(I748,4,3)-K748),CELL("address",Z749))</f>
        <v>G750</v>
      </c>
      <c r="J749" s="97" t="str">
        <f ca="1">IF(J748&gt;=4,(MID(I749,1,1)&amp;MID(I749,2,3)+1),CELL("address",AA749))</f>
        <v>G751</v>
      </c>
      <c r="K749" s="97" t="str">
        <f ca="1">IF(J748&gt;=5,(MID(J749,1,1)&amp;MID(J749,2,3)+1),CELL("address",AB749))</f>
        <v>G752</v>
      </c>
      <c r="L749" s="97" t="str">
        <f ca="1">IF(J748&gt;=6,(MID(K749,1,1)&amp;MID(K749,2,3)+1),CELL("address",AC749))</f>
        <v>$AC$749</v>
      </c>
      <c r="M749" s="97" t="str">
        <f ca="1">IF(J748&gt;=7,(MID(L749,1,1)&amp;MID(L749,2,3)+1),CELL("address",AD749))</f>
        <v>$AD$749</v>
      </c>
      <c r="N749" s="97" t="str">
        <f ca="1">IF(J748&gt;=8,(MID(M749,1,1)&amp;MID(M749,2,3)+1),CELL("address",AE749))</f>
        <v>$AE$749</v>
      </c>
      <c r="O749" s="97" t="str">
        <f ca="1">IF(J748&gt;=9,(MID(N749,1,1)&amp;MID(N749,2,3)+1),CELL("address",AF749))</f>
        <v>$AF$749</v>
      </c>
      <c r="P749" s="97" t="str">
        <f ca="1">IF(J748&gt;=10,(MID(O749,1,1)&amp;MID(O749,2,3)+1),CELL("address",AG749))</f>
        <v>$AG$749</v>
      </c>
      <c r="Q749" s="97" t="str">
        <f ca="1">IF(J748&gt;=11,(MID(P749,1,1)&amp;MID(P749,2,3)+1),CELL("address",AH749))</f>
        <v>$AH$749</v>
      </c>
      <c r="R749" s="97" t="str">
        <f ca="1">IF(J748&gt;=12,(MID(Q749,1,1)&amp;MID(Q749,2,3)+1),CELL("address",AI749))</f>
        <v>$AI$749</v>
      </c>
    </row>
    <row r="750" spans="1:8" ht="15" customHeight="1">
      <c r="A750" s="299"/>
      <c r="B750" s="299"/>
      <c r="C750" s="299"/>
      <c r="D750" s="44" t="s">
        <v>91</v>
      </c>
      <c r="E750" s="118">
        <v>1.941</v>
      </c>
      <c r="G750" s="91" t="str">
        <f>CONCATENATE(D750," - ",E750,", ")</f>
        <v>4/core PVC Alumn. Cable scrap - 1.941, </v>
      </c>
      <c r="H750" s="1"/>
    </row>
    <row r="751" spans="1:8" ht="15" customHeight="1">
      <c r="A751" s="299"/>
      <c r="B751" s="299"/>
      <c r="C751" s="299"/>
      <c r="D751" s="44" t="s">
        <v>92</v>
      </c>
      <c r="E751" s="118">
        <v>4.718</v>
      </c>
      <c r="G751" s="91" t="str">
        <f>CONCATENATE(D751," - ",E751,", ")</f>
        <v>3/ core XLPE Alu cable scrap - 4.718, </v>
      </c>
      <c r="H751" s="1"/>
    </row>
    <row r="752" spans="1:8" ht="15" customHeight="1">
      <c r="A752" s="38"/>
      <c r="B752" s="40"/>
      <c r="C752" s="41"/>
      <c r="D752" s="44"/>
      <c r="E752" s="118"/>
      <c r="H752" s="1"/>
    </row>
    <row r="753" spans="1:8" ht="15" customHeight="1">
      <c r="A753" s="38"/>
      <c r="B753" s="47"/>
      <c r="C753" s="254"/>
      <c r="D753" s="212"/>
      <c r="E753" s="171">
        <f>SUM(E755:E758)</f>
        <v>3.774</v>
      </c>
      <c r="H753" s="1"/>
    </row>
    <row r="754" spans="1:18" ht="15" customHeight="1">
      <c r="A754" s="39" t="s">
        <v>5</v>
      </c>
      <c r="B754" s="301" t="s">
        <v>17</v>
      </c>
      <c r="C754" s="306"/>
      <c r="D754" s="208" t="s">
        <v>18</v>
      </c>
      <c r="E754" s="38" t="s">
        <v>7</v>
      </c>
      <c r="F754" s="97"/>
      <c r="G754" s="92" t="str">
        <f>CONCATENATE("Cable Scrap, Lying at ",B755,". Quantity in MT - ")</f>
        <v>Cable Scrap, Lying at OL Nabha. Quantity in MT - </v>
      </c>
      <c r="H754" s="297" t="str">
        <f ca="1">CONCATENATE(G754,G755,(INDIRECT(I755)),(INDIRECT(J755)),(INDIRECT(K755)),(INDIRECT(L755)),(INDIRECT(M755)),(INDIRECT(N755)),(INDIRECT(O755)),(INDIRECT(P755)),(INDIRECT(Q755)),(INDIRECT(R755)))</f>
        <v>Cable Scrap, Lying at OL Nabha. Quantity in MT - 2/core PVC Alumn. Cable scrap - 1.202, 4/core PVC Alumn. Cable scrap - 1.039, 3/ core XLPE Alu cable scrap - 1.493, ABC cable scrap (70/95 mm) - 0.04, </v>
      </c>
      <c r="I754" s="97" t="str">
        <f aca="true" ca="1" t="array" ref="I754">CELL("address",INDEX(G754:G778,MATCH(TRUE,ISBLANK(G754:G778),0)))</f>
        <v>$G$759</v>
      </c>
      <c r="J754" s="97">
        <f aca="true" t="array" ref="J754">MATCH(TRUE,ISBLANK(G754:G778),0)</f>
        <v>6</v>
      </c>
      <c r="K754" s="97">
        <f>J754-3</f>
        <v>3</v>
      </c>
      <c r="L754" s="97"/>
      <c r="M754" s="97"/>
      <c r="N754" s="97"/>
      <c r="O754" s="97"/>
      <c r="P754" s="97"/>
      <c r="Q754" s="97"/>
      <c r="R754" s="97"/>
    </row>
    <row r="755" spans="1:18" ht="15" customHeight="1">
      <c r="A755" s="299" t="s">
        <v>172</v>
      </c>
      <c r="B755" s="299" t="s">
        <v>104</v>
      </c>
      <c r="C755" s="299"/>
      <c r="D755" s="44" t="s">
        <v>90</v>
      </c>
      <c r="E755" s="118">
        <v>1.202</v>
      </c>
      <c r="F755" s="97"/>
      <c r="G755" s="91" t="str">
        <f>CONCATENATE(D755," - ",E755,", ")</f>
        <v>2/core PVC Alumn. Cable scrap - 1.202, </v>
      </c>
      <c r="H755" s="297"/>
      <c r="I755" s="97" t="str">
        <f ca="1">IF(J754&gt;=3,(MID(I754,2,1)&amp;MID(I754,4,3)-K754),CELL("address",Z755))</f>
        <v>G756</v>
      </c>
      <c r="J755" s="97" t="str">
        <f ca="1">IF(J754&gt;=4,(MID(I755,1,1)&amp;MID(I755,2,3)+1),CELL("address",AA755))</f>
        <v>G757</v>
      </c>
      <c r="K755" s="97" t="str">
        <f ca="1">IF(J754&gt;=5,(MID(J755,1,1)&amp;MID(J755,2,3)+1),CELL("address",AB755))</f>
        <v>G758</v>
      </c>
      <c r="L755" s="97" t="str">
        <f ca="1">IF(J754&gt;=6,(MID(K755,1,1)&amp;MID(K755,2,3)+1),CELL("address",AC755))</f>
        <v>G759</v>
      </c>
      <c r="M755" s="97" t="str">
        <f ca="1">IF(J754&gt;=7,(MID(L755,1,1)&amp;MID(L755,2,3)+1),CELL("address",AD755))</f>
        <v>$AD$755</v>
      </c>
      <c r="N755" s="97" t="str">
        <f ca="1">IF(J754&gt;=8,(MID(M755,1,1)&amp;MID(M755,2,3)+1),CELL("address",AE755))</f>
        <v>$AE$755</v>
      </c>
      <c r="O755" s="97" t="str">
        <f ca="1">IF(J754&gt;=9,(MID(N755,1,1)&amp;MID(N755,2,3)+1),CELL("address",AF755))</f>
        <v>$AF$755</v>
      </c>
      <c r="P755" s="97" t="str">
        <f ca="1">IF(J754&gt;=10,(MID(O755,1,1)&amp;MID(O755,2,3)+1),CELL("address",AG755))</f>
        <v>$AG$755</v>
      </c>
      <c r="Q755" s="97" t="str">
        <f ca="1">IF(J754&gt;=11,(MID(P755,1,1)&amp;MID(P755,2,3)+1),CELL("address",AH755))</f>
        <v>$AH$755</v>
      </c>
      <c r="R755" s="97" t="str">
        <f ca="1">IF(J754&gt;=12,(MID(Q755,1,1)&amp;MID(Q755,2,3)+1),CELL("address",AI755))</f>
        <v>$AI$755</v>
      </c>
    </row>
    <row r="756" spans="1:15" ht="15" customHeight="1">
      <c r="A756" s="299"/>
      <c r="B756" s="299"/>
      <c r="C756" s="299"/>
      <c r="D756" s="44" t="s">
        <v>91</v>
      </c>
      <c r="E756" s="118">
        <v>1.039</v>
      </c>
      <c r="G756" s="91" t="str">
        <f>CONCATENATE(D756," - ",E756,", ")</f>
        <v>4/core PVC Alumn. Cable scrap - 1.039, </v>
      </c>
      <c r="H756" s="97"/>
      <c r="I756" s="97" t="e">
        <f ca="1">IF(G755&gt;=6,(MID(H756,1,1)&amp;MID(H756,2,3)+1),CELL("address",Z756))</f>
        <v>#VALUE!</v>
      </c>
      <c r="J756" s="97" t="e">
        <f ca="1">IF(G755&gt;=7,(MID(I756,1,1)&amp;MID(I756,2,3)+1),CELL("address",AA756))</f>
        <v>#VALUE!</v>
      </c>
      <c r="K756" s="97" t="e">
        <f ca="1">IF(G755&gt;=8,(MID(J756,1,1)&amp;MID(J756,2,3)+1),CELL("address",AB756))</f>
        <v>#VALUE!</v>
      </c>
      <c r="L756" s="97" t="e">
        <f ca="1">IF(G755&gt;=9,(MID(K756,1,1)&amp;MID(K756,2,3)+1),CELL("address",AC756))</f>
        <v>#VALUE!</v>
      </c>
      <c r="M756" s="97" t="e">
        <f ca="1">IF(G755&gt;=10,(MID(L756,1,1)&amp;MID(L756,2,3)+1),CELL("address",AD756))</f>
        <v>#VALUE!</v>
      </c>
      <c r="N756" s="97" t="e">
        <f ca="1">IF(G755&gt;=11,(MID(M756,1,1)&amp;MID(M756,2,3)+1),CELL("address",AE756))</f>
        <v>#VALUE!</v>
      </c>
      <c r="O756" s="97" t="e">
        <f ca="1">IF(G755&gt;=12,(MID(N756,1,1)&amp;MID(N756,2,3)+1),CELL("address",AF756))</f>
        <v>#VALUE!</v>
      </c>
    </row>
    <row r="757" spans="1:8" ht="15" customHeight="1">
      <c r="A757" s="299"/>
      <c r="B757" s="299"/>
      <c r="C757" s="299"/>
      <c r="D757" s="44" t="s">
        <v>92</v>
      </c>
      <c r="E757" s="118">
        <v>1.493</v>
      </c>
      <c r="G757" s="91" t="str">
        <f>CONCATENATE(D757," - ",E757,", ")</f>
        <v>3/ core XLPE Alu cable scrap - 1.493, </v>
      </c>
      <c r="H757" s="1"/>
    </row>
    <row r="758" spans="1:8" ht="15" customHeight="1">
      <c r="A758" s="299"/>
      <c r="B758" s="299"/>
      <c r="C758" s="299"/>
      <c r="D758" s="44" t="s">
        <v>168</v>
      </c>
      <c r="E758" s="118">
        <v>0.04</v>
      </c>
      <c r="G758" s="91" t="str">
        <f>CONCATENATE(D758," - ",E758,", ")</f>
        <v>ABC cable scrap (70/95 mm) - 0.04, </v>
      </c>
      <c r="H758" s="1"/>
    </row>
    <row r="759" spans="1:8" ht="15" customHeight="1">
      <c r="A759" s="38"/>
      <c r="B759" s="40"/>
      <c r="C759" s="41"/>
      <c r="D759" s="33"/>
      <c r="E759" s="156"/>
      <c r="H759" s="1"/>
    </row>
    <row r="760" spans="1:8" ht="15" customHeight="1">
      <c r="A760" s="38"/>
      <c r="B760" s="255"/>
      <c r="C760" s="256"/>
      <c r="D760" s="214"/>
      <c r="E760" s="168">
        <f>SUM(E762:E766)</f>
        <v>15.600000000000001</v>
      </c>
      <c r="H760" s="1"/>
    </row>
    <row r="761" spans="1:18" ht="15" customHeight="1">
      <c r="A761" s="39" t="s">
        <v>5</v>
      </c>
      <c r="B761" s="301" t="s">
        <v>17</v>
      </c>
      <c r="C761" s="306"/>
      <c r="D761" s="208" t="s">
        <v>18</v>
      </c>
      <c r="E761" s="38" t="s">
        <v>7</v>
      </c>
      <c r="G761" s="92" t="str">
        <f>CONCATENATE("Cable Scrap, Lying at ",B762,". Quantity in MT - ")</f>
        <v>Cable Scrap, Lying at CS Patiala. Quantity in MT - </v>
      </c>
      <c r="H761" s="297" t="str">
        <f ca="1">CONCATENATE(G761,G762,(INDIRECT(I762)),(INDIRECT(J762)),(INDIRECT(K762)),(INDIRECT(L762)),(INDIRECT(M762)),(INDIRECT(N762)),(INDIRECT(O762)),(INDIRECT(P762)),(INDIRECT(Q762)),(INDIRECT(R762)))</f>
        <v>Cable Scrap, Lying at CS Patiala. Quantity in MT - 1/core PVC Alumn. Cable scrap - 0.547, 2/core PVC Alumn. Cable scrap - 2.096, 4/core PVC Alumn. Cable scrap - 4.355, 3/ core XLPE Alu cable scrap - 3.2, ABC cable scrap (150 mm) - 5.402, </v>
      </c>
      <c r="I761" s="97" t="str">
        <f aca="true" ca="1" t="array" ref="I761">CELL("address",INDEX(G761:G785,MATCH(TRUE,ISBLANK(G761:G785),0)))</f>
        <v>$G$767</v>
      </c>
      <c r="J761" s="97">
        <f aca="true" t="array" ref="J761">MATCH(TRUE,ISBLANK(G761:G785),0)</f>
        <v>7</v>
      </c>
      <c r="K761" s="97">
        <f>J761-3</f>
        <v>4</v>
      </c>
      <c r="L761" s="97"/>
      <c r="M761" s="97"/>
      <c r="N761" s="97"/>
      <c r="O761" s="97"/>
      <c r="P761" s="97"/>
      <c r="Q761" s="97"/>
      <c r="R761" s="97"/>
    </row>
    <row r="762" spans="1:18" ht="15" customHeight="1">
      <c r="A762" s="299" t="s">
        <v>173</v>
      </c>
      <c r="B762" s="299" t="s">
        <v>52</v>
      </c>
      <c r="C762" s="299"/>
      <c r="D762" s="44" t="s">
        <v>171</v>
      </c>
      <c r="E762" s="38">
        <v>0.547</v>
      </c>
      <c r="F762" s="97"/>
      <c r="G762" s="91" t="str">
        <f>CONCATENATE(D762," - ",E762,", ")</f>
        <v>1/core PVC Alumn. Cable scrap - 0.547, </v>
      </c>
      <c r="H762" s="297"/>
      <c r="I762" s="97" t="str">
        <f ca="1">IF(J761&gt;=3,(MID(I761,2,1)&amp;MID(I761,4,3)-K761),CELL("address",Z762))</f>
        <v>G763</v>
      </c>
      <c r="J762" s="97" t="str">
        <f ca="1">IF(J761&gt;=4,(MID(I762,1,1)&amp;MID(I762,2,3)+1),CELL("address",AA762))</f>
        <v>G764</v>
      </c>
      <c r="K762" s="97" t="str">
        <f ca="1">IF(J761&gt;=5,(MID(J762,1,1)&amp;MID(J762,2,3)+1),CELL("address",AB762))</f>
        <v>G765</v>
      </c>
      <c r="L762" s="97" t="str">
        <f ca="1">IF(J761&gt;=6,(MID(K762,1,1)&amp;MID(K762,2,3)+1),CELL("address",AC762))</f>
        <v>G766</v>
      </c>
      <c r="M762" s="97" t="str">
        <f ca="1">IF(J761&gt;=7,(MID(L762,1,1)&amp;MID(L762,2,3)+1),CELL("address",AD762))</f>
        <v>G767</v>
      </c>
      <c r="N762" s="97" t="str">
        <f ca="1">IF(J761&gt;=8,(MID(M762,1,1)&amp;MID(M762,2,3)+1),CELL("address",AE762))</f>
        <v>$AE$762</v>
      </c>
      <c r="O762" s="97" t="str">
        <f ca="1">IF(J761&gt;=9,(MID(N762,1,1)&amp;MID(N762,2,3)+1),CELL("address",AF762))</f>
        <v>$AF$762</v>
      </c>
      <c r="P762" s="97" t="str">
        <f ca="1">IF(J761&gt;=10,(MID(O762,1,1)&amp;MID(O762,2,3)+1),CELL("address",AG762))</f>
        <v>$AG$762</v>
      </c>
      <c r="Q762" s="97" t="str">
        <f ca="1">IF(J761&gt;=11,(MID(P762,1,1)&amp;MID(P762,2,3)+1),CELL("address",AH762))</f>
        <v>$AH$762</v>
      </c>
      <c r="R762" s="97" t="str">
        <f ca="1">IF(J761&gt;=12,(MID(Q762,1,1)&amp;MID(Q762,2,3)+1),CELL("address",AI762))</f>
        <v>$AI$762</v>
      </c>
    </row>
    <row r="763" spans="1:15" ht="15" customHeight="1">
      <c r="A763" s="299"/>
      <c r="B763" s="299"/>
      <c r="C763" s="299"/>
      <c r="D763" s="44" t="s">
        <v>90</v>
      </c>
      <c r="E763" s="68">
        <v>2.096</v>
      </c>
      <c r="F763" s="97"/>
      <c r="G763" s="91" t="str">
        <f>CONCATENATE(D763," - ",E763,", ")</f>
        <v>2/core PVC Alumn. Cable scrap - 2.096, </v>
      </c>
      <c r="H763" s="97"/>
      <c r="I763" s="97"/>
      <c r="J763" s="97"/>
      <c r="K763" s="97"/>
      <c r="L763" s="97"/>
      <c r="M763" s="97"/>
      <c r="N763" s="97"/>
      <c r="O763" s="97"/>
    </row>
    <row r="764" spans="1:15" ht="15" customHeight="1">
      <c r="A764" s="299"/>
      <c r="B764" s="299"/>
      <c r="C764" s="299"/>
      <c r="D764" s="44" t="s">
        <v>91</v>
      </c>
      <c r="E764" s="68">
        <v>4.355</v>
      </c>
      <c r="G764" s="91" t="str">
        <f>CONCATENATE(D764," - ",E764,", ")</f>
        <v>4/core PVC Alumn. Cable scrap - 4.355, </v>
      </c>
      <c r="H764" s="97"/>
      <c r="I764" s="97" t="e">
        <f ca="1">IF(G763&gt;=6,(MID(H764,1,1)&amp;MID(H764,2,3)+1),CELL("address",Z764))</f>
        <v>#VALUE!</v>
      </c>
      <c r="J764" s="97" t="e">
        <f ca="1">IF(G763&gt;=7,(MID(I764,1,1)&amp;MID(I764,2,3)+1),CELL("address",AA764))</f>
        <v>#VALUE!</v>
      </c>
      <c r="K764" s="97" t="e">
        <f ca="1">IF(G763&gt;=8,(MID(J764,1,1)&amp;MID(J764,2,3)+1),CELL("address",AB764))</f>
        <v>#VALUE!</v>
      </c>
      <c r="L764" s="97" t="e">
        <f ca="1">IF(G763&gt;=9,(MID(K764,1,1)&amp;MID(K764,2,3)+1),CELL("address",AC764))</f>
        <v>#VALUE!</v>
      </c>
      <c r="M764" s="97" t="e">
        <f ca="1">IF(G763&gt;=10,(MID(L764,1,1)&amp;MID(L764,2,3)+1),CELL("address",AD764))</f>
        <v>#VALUE!</v>
      </c>
      <c r="N764" s="97" t="e">
        <f ca="1">IF(G763&gt;=11,(MID(M764,1,1)&amp;MID(M764,2,3)+1),CELL("address",AE764))</f>
        <v>#VALUE!</v>
      </c>
      <c r="O764" s="97" t="e">
        <f ca="1">IF(G763&gt;=12,(MID(N764,1,1)&amp;MID(N764,2,3)+1),CELL("address",AF764))</f>
        <v>#VALUE!</v>
      </c>
    </row>
    <row r="765" spans="1:8" ht="15" customHeight="1">
      <c r="A765" s="299"/>
      <c r="B765" s="299"/>
      <c r="C765" s="299"/>
      <c r="D765" s="44" t="s">
        <v>92</v>
      </c>
      <c r="E765" s="172">
        <v>3.2</v>
      </c>
      <c r="G765" s="91" t="str">
        <f>CONCATENATE(D765," - ",E765,", ")</f>
        <v>3/ core XLPE Alu cable scrap - 3.2, </v>
      </c>
      <c r="H765" s="1"/>
    </row>
    <row r="766" spans="1:8" ht="15" customHeight="1">
      <c r="A766" s="299"/>
      <c r="B766" s="299"/>
      <c r="C766" s="299"/>
      <c r="D766" s="44" t="s">
        <v>244</v>
      </c>
      <c r="E766" s="172">
        <v>5.402</v>
      </c>
      <c r="G766" s="91" t="str">
        <f>CONCATENATE(D766," - ",E766,", ")</f>
        <v>ABC cable scrap (150 mm) - 5.402, </v>
      </c>
      <c r="H766" s="1"/>
    </row>
    <row r="767" spans="1:8" ht="15" customHeight="1">
      <c r="A767" s="38"/>
      <c r="B767" s="40"/>
      <c r="C767" s="41"/>
      <c r="D767" s="33"/>
      <c r="E767" s="156"/>
      <c r="H767" s="1"/>
    </row>
    <row r="768" spans="1:8" ht="15" customHeight="1">
      <c r="A768" s="34"/>
      <c r="E768" s="133">
        <f>SUM(E770:E773)</f>
        <v>2.785</v>
      </c>
      <c r="H768" s="1"/>
    </row>
    <row r="769" spans="1:18" ht="15" customHeight="1">
      <c r="A769" s="39" t="s">
        <v>5</v>
      </c>
      <c r="B769" s="301" t="s">
        <v>17</v>
      </c>
      <c r="C769" s="306"/>
      <c r="D769" s="208" t="s">
        <v>18</v>
      </c>
      <c r="E769" s="38" t="s">
        <v>7</v>
      </c>
      <c r="F769" s="97"/>
      <c r="G769" s="92" t="str">
        <f>CONCATENATE("Cable Scrap, Lying at ",B770,". Quantity in MT - ")</f>
        <v>Cable Scrap, Lying at OL Rajpura. Quantity in MT - </v>
      </c>
      <c r="H769" s="297" t="str">
        <f ca="1">CONCATENATE(G769,G770,(INDIRECT(I770)),(INDIRECT(J770)),(INDIRECT(K770)),(INDIRECT(L770)),(INDIRECT(M770)),(INDIRECT(N770)),(INDIRECT(O770)),(INDIRECT(P770)),(INDIRECT(Q770)),(INDIRECT(R770)))</f>
        <v>Cable Scrap, Lying at OL Rajpura. Quantity in MT - 2/core PVC Alumn. Cable scrap - 0.78, 4/core PVC Alumn. Cable scrap - 0.609, 3/ core XLPE Alu cable scrap - 0.837, ABC cable scrap (70/95 mm) - 0.559, </v>
      </c>
      <c r="I769" s="97" t="str">
        <f aca="true" ca="1" t="array" ref="I769">CELL("address",INDEX(G769:G793,MATCH(TRUE,ISBLANK(G769:G793),0)))</f>
        <v>$G$774</v>
      </c>
      <c r="J769" s="97">
        <f aca="true" t="array" ref="J769">MATCH(TRUE,ISBLANK(G769:G793),0)</f>
        <v>6</v>
      </c>
      <c r="K769" s="97">
        <f>J769-3</f>
        <v>3</v>
      </c>
      <c r="L769" s="97"/>
      <c r="M769" s="97"/>
      <c r="N769" s="97"/>
      <c r="O769" s="97"/>
      <c r="P769" s="97"/>
      <c r="Q769" s="97"/>
      <c r="R769" s="97"/>
    </row>
    <row r="770" spans="1:18" ht="15" customHeight="1">
      <c r="A770" s="299" t="s">
        <v>174</v>
      </c>
      <c r="B770" s="299" t="s">
        <v>103</v>
      </c>
      <c r="C770" s="299"/>
      <c r="D770" s="44" t="s">
        <v>90</v>
      </c>
      <c r="E770" s="38">
        <v>0.78</v>
      </c>
      <c r="F770" s="97"/>
      <c r="G770" s="91" t="str">
        <f>CONCATENATE(D770," - ",E770,", ")</f>
        <v>2/core PVC Alumn. Cable scrap - 0.78, </v>
      </c>
      <c r="H770" s="297"/>
      <c r="I770" s="97" t="str">
        <f ca="1">IF(J769&gt;=3,(MID(I769,2,1)&amp;MID(I769,4,3)-K769),CELL("address",Z770))</f>
        <v>G771</v>
      </c>
      <c r="J770" s="97" t="str">
        <f ca="1">IF(J769&gt;=4,(MID(I770,1,1)&amp;MID(I770,2,3)+1),CELL("address",AA770))</f>
        <v>G772</v>
      </c>
      <c r="K770" s="97" t="str">
        <f ca="1">IF(J769&gt;=5,(MID(J770,1,1)&amp;MID(J770,2,3)+1),CELL("address",AB770))</f>
        <v>G773</v>
      </c>
      <c r="L770" s="97" t="str">
        <f ca="1">IF(J769&gt;=6,(MID(K770,1,1)&amp;MID(K770,2,3)+1),CELL("address",AC770))</f>
        <v>G774</v>
      </c>
      <c r="M770" s="97" t="str">
        <f ca="1">IF(J769&gt;=7,(MID(L770,1,1)&amp;MID(L770,2,3)+1),CELL("address",AD770))</f>
        <v>$AD$770</v>
      </c>
      <c r="N770" s="97" t="str">
        <f ca="1">IF(J769&gt;=8,(MID(M770,1,1)&amp;MID(M770,2,3)+1),CELL("address",AE770))</f>
        <v>$AE$770</v>
      </c>
      <c r="O770" s="97" t="str">
        <f ca="1">IF(J769&gt;=9,(MID(N770,1,1)&amp;MID(N770,2,3)+1),CELL("address",AF770))</f>
        <v>$AF$770</v>
      </c>
      <c r="P770" s="97" t="str">
        <f ca="1">IF(J769&gt;=10,(MID(O770,1,1)&amp;MID(O770,2,3)+1),CELL("address",AG770))</f>
        <v>$AG$770</v>
      </c>
      <c r="Q770" s="97" t="str">
        <f ca="1">IF(J769&gt;=11,(MID(P770,1,1)&amp;MID(P770,2,3)+1),CELL("address",AH770))</f>
        <v>$AH$770</v>
      </c>
      <c r="R770" s="97" t="str">
        <f ca="1">IF(J769&gt;=12,(MID(Q770,1,1)&amp;MID(Q770,2,3)+1),CELL("address",AI770))</f>
        <v>$AI$770</v>
      </c>
    </row>
    <row r="771" spans="1:15" ht="15" customHeight="1">
      <c r="A771" s="299"/>
      <c r="B771" s="299"/>
      <c r="C771" s="299"/>
      <c r="D771" s="44" t="s">
        <v>91</v>
      </c>
      <c r="E771" s="68">
        <v>0.609</v>
      </c>
      <c r="G771" s="91" t="str">
        <f>CONCATENATE(D771," - ",E771,", ")</f>
        <v>4/core PVC Alumn. Cable scrap - 0.609, </v>
      </c>
      <c r="H771" s="97"/>
      <c r="I771" s="97" t="e">
        <f ca="1">IF(G770&gt;=6,(MID(H771,1,1)&amp;MID(H771,2,3)+1),CELL("address",Z771))</f>
        <v>#VALUE!</v>
      </c>
      <c r="J771" s="97" t="e">
        <f ca="1">IF(G770&gt;=7,(MID(I771,1,1)&amp;MID(I771,2,3)+1),CELL("address",AA771))</f>
        <v>#VALUE!</v>
      </c>
      <c r="K771" s="97" t="e">
        <f ca="1">IF(G770&gt;=8,(MID(J771,1,1)&amp;MID(J771,2,3)+1),CELL("address",AB771))</f>
        <v>#VALUE!</v>
      </c>
      <c r="L771" s="97" t="e">
        <f ca="1">IF(G770&gt;=9,(MID(K771,1,1)&amp;MID(K771,2,3)+1),CELL("address",AC771))</f>
        <v>#VALUE!</v>
      </c>
      <c r="M771" s="97" t="e">
        <f ca="1">IF(G770&gt;=10,(MID(L771,1,1)&amp;MID(L771,2,3)+1),CELL("address",AD771))</f>
        <v>#VALUE!</v>
      </c>
      <c r="N771" s="97" t="e">
        <f ca="1">IF(G770&gt;=11,(MID(M771,1,1)&amp;MID(M771,2,3)+1),CELL("address",AE771))</f>
        <v>#VALUE!</v>
      </c>
      <c r="O771" s="97" t="e">
        <f ca="1">IF(G770&gt;=12,(MID(N771,1,1)&amp;MID(N771,2,3)+1),CELL("address",AF771))</f>
        <v>#VALUE!</v>
      </c>
    </row>
    <row r="772" spans="1:8" ht="15" customHeight="1">
      <c r="A772" s="299"/>
      <c r="B772" s="299"/>
      <c r="C772" s="299"/>
      <c r="D772" s="44" t="s">
        <v>92</v>
      </c>
      <c r="E772" s="68">
        <v>0.837</v>
      </c>
      <c r="G772" s="91" t="str">
        <f>CONCATENATE(D772," - ",E772,", ")</f>
        <v>3/ core XLPE Alu cable scrap - 0.837, </v>
      </c>
      <c r="H772" s="1"/>
    </row>
    <row r="773" spans="1:8" ht="15" customHeight="1">
      <c r="A773" s="299"/>
      <c r="B773" s="299"/>
      <c r="C773" s="299"/>
      <c r="D773" s="44" t="s">
        <v>168</v>
      </c>
      <c r="E773" s="118">
        <v>0.559</v>
      </c>
      <c r="G773" s="91" t="str">
        <f>CONCATENATE(D773," - ",E773,", ")</f>
        <v>ABC cable scrap (70/95 mm) - 0.559, </v>
      </c>
      <c r="H773" s="1"/>
    </row>
    <row r="774" spans="1:8" ht="15" customHeight="1">
      <c r="A774" s="38"/>
      <c r="B774" s="40"/>
      <c r="C774" s="41"/>
      <c r="D774" s="44"/>
      <c r="E774" s="118"/>
      <c r="H774" s="1"/>
    </row>
    <row r="775" spans="1:8" ht="15" customHeight="1">
      <c r="A775" s="38"/>
      <c r="B775" s="255"/>
      <c r="C775" s="256"/>
      <c r="D775" s="214"/>
      <c r="E775" s="168">
        <f>SUM(E777:E780)</f>
        <v>5.704000000000001</v>
      </c>
      <c r="H775" s="1"/>
    </row>
    <row r="776" spans="1:18" ht="15" customHeight="1">
      <c r="A776" s="39" t="s">
        <v>5</v>
      </c>
      <c r="B776" s="301" t="s">
        <v>17</v>
      </c>
      <c r="C776" s="306"/>
      <c r="D776" s="208" t="s">
        <v>18</v>
      </c>
      <c r="E776" s="38" t="s">
        <v>7</v>
      </c>
      <c r="F776" s="97"/>
      <c r="G776" s="92" t="str">
        <f>CONCATENATE("Cable Scrap, Lying at ",B777,". Quantity in MT - ")</f>
        <v>Cable Scrap, Lying at OL Barnala. Quantity in MT - </v>
      </c>
      <c r="H776" s="297" t="str">
        <f ca="1">CONCATENATE(G776,G777,(INDIRECT(I777)),(INDIRECT(J777)),(INDIRECT(K777)),(INDIRECT(L777)),(INDIRECT(M777)),(INDIRECT(N777)),(INDIRECT(O777)),(INDIRECT(P777)),(INDIRECT(Q777)),(INDIRECT(R777)))</f>
        <v>Cable Scrap, Lying at OL Barnala. Quantity in MT - 2/core PVC Alumn. Cable scrap - 0.684, 4/core PVC Alumn. Cable scrap - 1.564, 3/ core XLPE Alu cable scrap - 3.386, 1/ core XLPE Alu cable scrap - 0.07, </v>
      </c>
      <c r="I776" s="97" t="str">
        <f aca="true" ca="1" t="array" ref="I776">CELL("address",INDEX(G776:G800,MATCH(TRUE,ISBLANK(G776:G800),0)))</f>
        <v>$G$781</v>
      </c>
      <c r="J776" s="97">
        <f aca="true" t="array" ref="J776">MATCH(TRUE,ISBLANK(G776:G800),0)</f>
        <v>6</v>
      </c>
      <c r="K776" s="97">
        <f>J776-3</f>
        <v>3</v>
      </c>
      <c r="L776" s="97"/>
      <c r="M776" s="97"/>
      <c r="N776" s="97"/>
      <c r="O776" s="97"/>
      <c r="P776" s="97"/>
      <c r="Q776" s="97"/>
      <c r="R776" s="97"/>
    </row>
    <row r="777" spans="1:18" ht="15" customHeight="1">
      <c r="A777" s="299" t="s">
        <v>241</v>
      </c>
      <c r="B777" s="299" t="s">
        <v>189</v>
      </c>
      <c r="C777" s="299"/>
      <c r="D777" s="44" t="s">
        <v>90</v>
      </c>
      <c r="E777" s="68">
        <v>0.684</v>
      </c>
      <c r="F777" s="97"/>
      <c r="G777" s="91" t="str">
        <f>CONCATENATE(D777," - ",E777,", ")</f>
        <v>2/core PVC Alumn. Cable scrap - 0.684, </v>
      </c>
      <c r="H777" s="297"/>
      <c r="I777" s="97" t="str">
        <f ca="1">IF(J776&gt;=3,(MID(I776,2,1)&amp;MID(I776,4,3)-K776),CELL("address",Z777))</f>
        <v>G778</v>
      </c>
      <c r="J777" s="97" t="str">
        <f ca="1">IF(J776&gt;=4,(MID(I777,1,1)&amp;MID(I777,2,3)+1),CELL("address",AA777))</f>
        <v>G779</v>
      </c>
      <c r="K777" s="97" t="str">
        <f ca="1">IF(J776&gt;=5,(MID(J777,1,1)&amp;MID(J777,2,3)+1),CELL("address",AB777))</f>
        <v>G780</v>
      </c>
      <c r="L777" s="97" t="str">
        <f ca="1">IF(J776&gt;=6,(MID(K777,1,1)&amp;MID(K777,2,3)+1),CELL("address",AC777))</f>
        <v>G781</v>
      </c>
      <c r="M777" s="97" t="str">
        <f ca="1">IF(J776&gt;=7,(MID(L777,1,1)&amp;MID(L777,2,3)+1),CELL("address",AD777))</f>
        <v>$AD$777</v>
      </c>
      <c r="N777" s="97" t="str">
        <f ca="1">IF(J776&gt;=8,(MID(M777,1,1)&amp;MID(M777,2,3)+1),CELL("address",AE777))</f>
        <v>$AE$777</v>
      </c>
      <c r="O777" s="97" t="str">
        <f ca="1">IF(J776&gt;=9,(MID(N777,1,1)&amp;MID(N777,2,3)+1),CELL("address",AF777))</f>
        <v>$AF$777</v>
      </c>
      <c r="P777" s="97" t="str">
        <f ca="1">IF(J776&gt;=10,(MID(O777,1,1)&amp;MID(O777,2,3)+1),CELL("address",AG777))</f>
        <v>$AG$777</v>
      </c>
      <c r="Q777" s="97" t="str">
        <f ca="1">IF(J776&gt;=11,(MID(P777,1,1)&amp;MID(P777,2,3)+1),CELL("address",AH777))</f>
        <v>$AH$777</v>
      </c>
      <c r="R777" s="97" t="str">
        <f ca="1">IF(J776&gt;=12,(MID(Q777,1,1)&amp;MID(Q777,2,3)+1),CELL("address",AI777))</f>
        <v>$AI$777</v>
      </c>
    </row>
    <row r="778" spans="1:15" ht="15" customHeight="1">
      <c r="A778" s="299"/>
      <c r="B778" s="299"/>
      <c r="C778" s="299"/>
      <c r="D778" s="44" t="s">
        <v>91</v>
      </c>
      <c r="E778" s="68">
        <v>1.564</v>
      </c>
      <c r="G778" s="91" t="str">
        <f>CONCATENATE(D778," - ",E778,", ")</f>
        <v>4/core PVC Alumn. Cable scrap - 1.564, </v>
      </c>
      <c r="H778" s="97"/>
      <c r="I778" s="97" t="e">
        <f ca="1">IF(G777&gt;=6,(MID(H778,1,1)&amp;MID(H778,2,3)+1),CELL("address",Z778))</f>
        <v>#VALUE!</v>
      </c>
      <c r="J778" s="97" t="e">
        <f ca="1">IF(G777&gt;=7,(MID(I778,1,1)&amp;MID(I778,2,3)+1),CELL("address",AA778))</f>
        <v>#VALUE!</v>
      </c>
      <c r="K778" s="97" t="e">
        <f ca="1">IF(G777&gt;=8,(MID(J778,1,1)&amp;MID(J778,2,3)+1),CELL("address",AB778))</f>
        <v>#VALUE!</v>
      </c>
      <c r="L778" s="97" t="e">
        <f ca="1">IF(G777&gt;=9,(MID(K778,1,1)&amp;MID(K778,2,3)+1),CELL("address",AC778))</f>
        <v>#VALUE!</v>
      </c>
      <c r="M778" s="97" t="e">
        <f ca="1">IF(G777&gt;=10,(MID(L778,1,1)&amp;MID(L778,2,3)+1),CELL("address",AD778))</f>
        <v>#VALUE!</v>
      </c>
      <c r="N778" s="97" t="e">
        <f ca="1">IF(G777&gt;=11,(MID(M778,1,1)&amp;MID(M778,2,3)+1),CELL("address",AE778))</f>
        <v>#VALUE!</v>
      </c>
      <c r="O778" s="97" t="e">
        <f ca="1">IF(G777&gt;=12,(MID(N778,1,1)&amp;MID(N778,2,3)+1),CELL("address",AF778))</f>
        <v>#VALUE!</v>
      </c>
    </row>
    <row r="779" spans="1:8" ht="15" customHeight="1">
      <c r="A779" s="299"/>
      <c r="B779" s="299"/>
      <c r="C779" s="299"/>
      <c r="D779" s="44" t="s">
        <v>92</v>
      </c>
      <c r="E779" s="118">
        <v>3.386</v>
      </c>
      <c r="G779" s="91" t="str">
        <f>CONCATENATE(D779," - ",E779,", ")</f>
        <v>3/ core XLPE Alu cable scrap - 3.386, </v>
      </c>
      <c r="H779" s="1"/>
    </row>
    <row r="780" spans="1:8" ht="15" customHeight="1">
      <c r="A780" s="299"/>
      <c r="B780" s="299"/>
      <c r="C780" s="299"/>
      <c r="D780" s="44" t="s">
        <v>97</v>
      </c>
      <c r="E780" s="118">
        <v>0.07</v>
      </c>
      <c r="G780" s="91" t="str">
        <f>CONCATENATE(D780," - ",E780,", ")</f>
        <v>1/ core XLPE Alu cable scrap - 0.07, </v>
      </c>
      <c r="H780" s="1"/>
    </row>
    <row r="781" spans="1:8" ht="15" customHeight="1">
      <c r="A781" s="38"/>
      <c r="B781" s="113"/>
      <c r="C781" s="58"/>
      <c r="D781" s="114"/>
      <c r="E781" s="173"/>
      <c r="H781" s="1"/>
    </row>
    <row r="782" spans="1:8" ht="15" customHeight="1">
      <c r="A782" s="38"/>
      <c r="B782" s="255"/>
      <c r="C782" s="256"/>
      <c r="D782" s="214"/>
      <c r="E782" s="168">
        <f>SUM(E784:E789)</f>
        <v>6.319</v>
      </c>
      <c r="H782" s="1"/>
    </row>
    <row r="783" spans="1:27" ht="15" customHeight="1">
      <c r="A783" s="69" t="s">
        <v>5</v>
      </c>
      <c r="B783" s="326" t="s">
        <v>17</v>
      </c>
      <c r="C783" s="327"/>
      <c r="D783" s="208" t="s">
        <v>18</v>
      </c>
      <c r="E783" s="38" t="s">
        <v>7</v>
      </c>
      <c r="G783" s="92" t="str">
        <f>CONCATENATE("Cable Scrap, Lying at ",B784,". Quantity in MT - ")</f>
        <v>Cable Scrap, Lying at CS Sangrur. Quantity in MT - </v>
      </c>
      <c r="H783" s="297" t="str">
        <f ca="1">CONCATENATE(G783,G784,(INDIRECT(I784)),(INDIRECT(J784)),(INDIRECT(K784)),(INDIRECT(L784)),(INDIRECT(M784)),(INDIRECT(N784)),(INDIRECT(O784)),(INDIRECT(P784)),(INDIRECT(Q784)),(INDIRECT(R784)))</f>
        <v>Cable Scrap, Lying at CS Sangrur. Quantity in MT - 2/core PVC Alumn. Cable scrap - 0.464, 4/core PVC Alumn. Cable scrap - 0.838, 3/ core XLPE Alu cable scrap - 3.077, Lead seal scrap with lash wire - 0.05, ABC cable scrap (70/95 mm) - 1.825, 1/ core XLPE Alu cable scrap - 0.065, </v>
      </c>
      <c r="I783" s="97" t="str">
        <f aca="true" ca="1" t="array" ref="I783">CELL("address",INDEX(G783:G807,MATCH(TRUE,ISBLANK(G783:G807),0)))</f>
        <v>$G$790</v>
      </c>
      <c r="J783" s="97">
        <f aca="true" t="array" ref="J783">MATCH(TRUE,ISBLANK(G783:G807),0)</f>
        <v>8</v>
      </c>
      <c r="K783" s="97">
        <f>J783-3</f>
        <v>5</v>
      </c>
      <c r="L783" s="97"/>
      <c r="M783" s="97"/>
      <c r="N783" s="97"/>
      <c r="O783" s="97"/>
      <c r="P783" s="97"/>
      <c r="Q783" s="97"/>
      <c r="R783" s="97"/>
      <c r="T783" s="167"/>
      <c r="U783" s="167"/>
      <c r="V783" s="167"/>
      <c r="W783" s="167"/>
      <c r="X783" s="167"/>
      <c r="Y783" s="167"/>
      <c r="Z783" s="167"/>
      <c r="AA783" s="100"/>
    </row>
    <row r="784" spans="1:18" ht="15" customHeight="1">
      <c r="A784" s="299" t="s">
        <v>210</v>
      </c>
      <c r="B784" s="299" t="s">
        <v>79</v>
      </c>
      <c r="C784" s="299"/>
      <c r="D784" s="80" t="s">
        <v>90</v>
      </c>
      <c r="E784" s="68">
        <v>0.464</v>
      </c>
      <c r="G784" s="91" t="str">
        <f aca="true" t="shared" si="3" ref="G784:G789">CONCATENATE(D784," - ",E784,", ")</f>
        <v>2/core PVC Alumn. Cable scrap - 0.464, </v>
      </c>
      <c r="H784" s="297"/>
      <c r="I784" s="97" t="str">
        <f ca="1">IF(J783&gt;=3,(MID(I783,2,1)&amp;MID(I783,4,3)-K783),CELL("address",Z784))</f>
        <v>G785</v>
      </c>
      <c r="J784" s="97" t="str">
        <f ca="1">IF(J783&gt;=4,(MID(I784,1,1)&amp;MID(I784,2,3)+1),CELL("address",AA784))</f>
        <v>G786</v>
      </c>
      <c r="K784" s="97" t="str">
        <f ca="1">IF(J783&gt;=5,(MID(J784,1,1)&amp;MID(J784,2,3)+1),CELL("address",AB784))</f>
        <v>G787</v>
      </c>
      <c r="L784" s="97" t="str">
        <f ca="1">IF(J783&gt;=6,(MID(K784,1,1)&amp;MID(K784,2,3)+1),CELL("address",AC784))</f>
        <v>G788</v>
      </c>
      <c r="M784" s="97" t="str">
        <f ca="1">IF(J783&gt;=7,(MID(L784,1,1)&amp;MID(L784,2,3)+1),CELL("address",AD784))</f>
        <v>G789</v>
      </c>
      <c r="N784" s="97" t="str">
        <f ca="1">IF(J783&gt;=8,(MID(M784,1,1)&amp;MID(M784,2,3)+1),CELL("address",AE784))</f>
        <v>G790</v>
      </c>
      <c r="O784" s="97" t="str">
        <f ca="1">IF(J783&gt;=9,(MID(N784,1,1)&amp;MID(N784,2,3)+1),CELL("address",AF784))</f>
        <v>$AF$784</v>
      </c>
      <c r="P784" s="97" t="str">
        <f ca="1">IF(J783&gt;=10,(MID(O784,1,1)&amp;MID(O784,2,3)+1),CELL("address",AG784))</f>
        <v>$AG$784</v>
      </c>
      <c r="Q784" s="97" t="str">
        <f ca="1">IF(J783&gt;=11,(MID(P784,1,1)&amp;MID(P784,2,3)+1),CELL("address",AH784))</f>
        <v>$AH$784</v>
      </c>
      <c r="R784" s="97" t="str">
        <f ca="1">IF(J783&gt;=12,(MID(Q784,1,1)&amp;MID(Q784,2,3)+1),CELL("address",AI784))</f>
        <v>$AI$784</v>
      </c>
    </row>
    <row r="785" spans="1:8" ht="15" customHeight="1">
      <c r="A785" s="299"/>
      <c r="B785" s="299"/>
      <c r="C785" s="299"/>
      <c r="D785" s="80" t="s">
        <v>91</v>
      </c>
      <c r="E785" s="68">
        <v>0.838</v>
      </c>
      <c r="F785" s="97"/>
      <c r="G785" s="91" t="str">
        <f t="shared" si="3"/>
        <v>4/core PVC Alumn. Cable scrap - 0.838, </v>
      </c>
      <c r="H785" s="1"/>
    </row>
    <row r="786" spans="1:15" ht="15" customHeight="1">
      <c r="A786" s="299"/>
      <c r="B786" s="299"/>
      <c r="C786" s="299"/>
      <c r="D786" s="80" t="s">
        <v>92</v>
      </c>
      <c r="E786" s="68">
        <v>3.077</v>
      </c>
      <c r="F786" s="97"/>
      <c r="G786" s="91" t="str">
        <f t="shared" si="3"/>
        <v>3/ core XLPE Alu cable scrap - 3.077, </v>
      </c>
      <c r="H786" s="97"/>
      <c r="I786" s="97"/>
      <c r="J786" s="97"/>
      <c r="K786" s="97"/>
      <c r="L786" s="97"/>
      <c r="M786" s="97"/>
      <c r="N786" s="97"/>
      <c r="O786" s="97"/>
    </row>
    <row r="787" spans="1:15" ht="15" customHeight="1">
      <c r="A787" s="299"/>
      <c r="B787" s="299"/>
      <c r="C787" s="299"/>
      <c r="D787" s="80" t="s">
        <v>187</v>
      </c>
      <c r="E787" s="172">
        <v>0.05</v>
      </c>
      <c r="G787" s="91" t="str">
        <f t="shared" si="3"/>
        <v>Lead seal scrap with lash wire - 0.05, </v>
      </c>
      <c r="H787" s="97"/>
      <c r="I787" s="97" t="e">
        <f ca="1">IF(G786&gt;=6,(MID(H787,1,1)&amp;MID(H787,2,3)+1),CELL("address",Z787))</f>
        <v>#VALUE!</v>
      </c>
      <c r="J787" s="97" t="e">
        <f ca="1">IF(G786&gt;=7,(MID(I787,1,1)&amp;MID(I787,2,3)+1),CELL("address",AA787))</f>
        <v>#VALUE!</v>
      </c>
      <c r="K787" s="97" t="e">
        <f ca="1">IF(G786&gt;=8,(MID(J787,1,1)&amp;MID(J787,2,3)+1),CELL("address",AB787))</f>
        <v>#VALUE!</v>
      </c>
      <c r="L787" s="97" t="e">
        <f ca="1">IF(G786&gt;=9,(MID(K787,1,1)&amp;MID(K787,2,3)+1),CELL("address",AC787))</f>
        <v>#VALUE!</v>
      </c>
      <c r="M787" s="97" t="e">
        <f ca="1">IF(G786&gt;=10,(MID(L787,1,1)&amp;MID(L787,2,3)+1),CELL("address",AD787))</f>
        <v>#VALUE!</v>
      </c>
      <c r="N787" s="97" t="e">
        <f ca="1">IF(G786&gt;=11,(MID(M787,1,1)&amp;MID(M787,2,3)+1),CELL("address",AE787))</f>
        <v>#VALUE!</v>
      </c>
      <c r="O787" s="97" t="e">
        <f ca="1">IF(G786&gt;=12,(MID(N787,1,1)&amp;MID(N787,2,3)+1),CELL("address",AF787))</f>
        <v>#VALUE!</v>
      </c>
    </row>
    <row r="788" spans="1:8" ht="15" customHeight="1">
      <c r="A788" s="299"/>
      <c r="B788" s="299"/>
      <c r="C788" s="299"/>
      <c r="D788" s="263" t="s">
        <v>168</v>
      </c>
      <c r="E788" s="118">
        <v>1.825</v>
      </c>
      <c r="G788" s="91" t="str">
        <f t="shared" si="3"/>
        <v>ABC cable scrap (70/95 mm) - 1.825, </v>
      </c>
      <c r="H788" s="1"/>
    </row>
    <row r="789" spans="1:8" ht="15" customHeight="1">
      <c r="A789" s="299"/>
      <c r="B789" s="299"/>
      <c r="C789" s="299"/>
      <c r="D789" s="80" t="s">
        <v>97</v>
      </c>
      <c r="E789" s="118">
        <v>0.065</v>
      </c>
      <c r="F789" s="119"/>
      <c r="G789" s="91" t="str">
        <f t="shared" si="3"/>
        <v>1/ core XLPE Alu cable scrap - 0.065, </v>
      </c>
      <c r="H789" s="1"/>
    </row>
    <row r="790" spans="1:8" ht="15" customHeight="1">
      <c r="A790" s="49"/>
      <c r="B790" s="113"/>
      <c r="C790" s="58"/>
      <c r="D790" s="70"/>
      <c r="E790" s="118"/>
      <c r="F790" s="119"/>
      <c r="H790" s="1"/>
    </row>
    <row r="791" spans="1:8" ht="15" customHeight="1">
      <c r="A791" s="38"/>
      <c r="B791" s="255"/>
      <c r="C791" s="256"/>
      <c r="D791" s="214" t="s">
        <v>251</v>
      </c>
      <c r="E791" s="168">
        <f>SUM(E793:E796)</f>
        <v>2.549</v>
      </c>
      <c r="H791" s="1"/>
    </row>
    <row r="792" spans="1:18" ht="15" customHeight="1">
      <c r="A792" s="39" t="s">
        <v>5</v>
      </c>
      <c r="B792" s="301" t="s">
        <v>17</v>
      </c>
      <c r="C792" s="306"/>
      <c r="D792" s="208" t="s">
        <v>18</v>
      </c>
      <c r="E792" s="38" t="s">
        <v>7</v>
      </c>
      <c r="F792" s="97"/>
      <c r="G792" s="92" t="str">
        <f>CONCATENATE("Cable Scrap, Lying at ",B793,". Quantity in MT - ")</f>
        <v>Cable Scrap, Lying at CS Mohali. Quantity in MT - </v>
      </c>
      <c r="H792" s="297" t="str">
        <f ca="1">CONCATENATE(G792,G793,(INDIRECT(I793)),(INDIRECT(J793)),(INDIRECT(K793)),(INDIRECT(L793)),(INDIRECT(M793)),(INDIRECT(N793)),(INDIRECT(O793)),(INDIRECT(P793)),(INDIRECT(Q793)),(INDIRECT(R793)))</f>
        <v>Cable Scrap, Lying at CS Mohali. Quantity in MT - 4/core PVC Alumn. Cable scrap - 1.528, 3/ core XLPE Alu cable scrap - 0.533, 1/core PVC Alumn. Cable scrap - 0.183, 2/core PVC Alumn. Cable scrap - 0.305, </v>
      </c>
      <c r="I792" s="97" t="str">
        <f aca="true" ca="1" t="array" ref="I792">CELL("address",INDEX(G792:G816,MATCH(TRUE,ISBLANK(G792:G816),0)))</f>
        <v>$G$797</v>
      </c>
      <c r="J792" s="97">
        <f aca="true" t="array" ref="J792">MATCH(TRUE,ISBLANK(G792:G816),0)</f>
        <v>6</v>
      </c>
      <c r="K792" s="97">
        <f>J792-3</f>
        <v>3</v>
      </c>
      <c r="L792" s="97"/>
      <c r="M792" s="97"/>
      <c r="N792" s="97"/>
      <c r="O792" s="97"/>
      <c r="P792" s="97"/>
      <c r="Q792" s="97"/>
      <c r="R792" s="97"/>
    </row>
    <row r="793" spans="1:18" ht="15" customHeight="1">
      <c r="A793" s="299" t="s">
        <v>249</v>
      </c>
      <c r="B793" s="299" t="s">
        <v>62</v>
      </c>
      <c r="C793" s="299"/>
      <c r="D793" s="44" t="s">
        <v>91</v>
      </c>
      <c r="E793" s="38">
        <v>1.528</v>
      </c>
      <c r="F793" s="97"/>
      <c r="G793" s="91" t="str">
        <f>CONCATENATE(D793," - ",E793,", ")</f>
        <v>4/core PVC Alumn. Cable scrap - 1.528, </v>
      </c>
      <c r="H793" s="297"/>
      <c r="I793" s="97" t="str">
        <f ca="1">IF(J792&gt;=3,(MID(I792,2,1)&amp;MID(I792,4,3)-K792),CELL("address",Z793))</f>
        <v>G794</v>
      </c>
      <c r="J793" s="97" t="str">
        <f ca="1">IF(J792&gt;=4,(MID(I793,1,1)&amp;MID(I793,2,3)+1),CELL("address",AA793))</f>
        <v>G795</v>
      </c>
      <c r="K793" s="97" t="str">
        <f ca="1">IF(J792&gt;=5,(MID(J793,1,1)&amp;MID(J793,2,3)+1),CELL("address",AB793))</f>
        <v>G796</v>
      </c>
      <c r="L793" s="97" t="str">
        <f ca="1">IF(J792&gt;=6,(MID(K793,1,1)&amp;MID(K793,2,3)+1),CELL("address",AC793))</f>
        <v>G797</v>
      </c>
      <c r="M793" s="97" t="str">
        <f ca="1">IF(J792&gt;=7,(MID(L793,1,1)&amp;MID(L793,2,3)+1),CELL("address",AD793))</f>
        <v>$AD$793</v>
      </c>
      <c r="N793" s="97" t="str">
        <f ca="1">IF(J792&gt;=8,(MID(M793,1,1)&amp;MID(M793,2,3)+1),CELL("address",AE793))</f>
        <v>$AE$793</v>
      </c>
      <c r="O793" s="97" t="str">
        <f ca="1">IF(J792&gt;=9,(MID(N793,1,1)&amp;MID(N793,2,3)+1),CELL("address",AF793))</f>
        <v>$AF$793</v>
      </c>
      <c r="P793" s="97" t="str">
        <f ca="1">IF(J792&gt;=10,(MID(O793,1,1)&amp;MID(O793,2,3)+1),CELL("address",AG793))</f>
        <v>$AG$793</v>
      </c>
      <c r="Q793" s="97" t="str">
        <f ca="1">IF(J792&gt;=11,(MID(P793,1,1)&amp;MID(P793,2,3)+1),CELL("address",AH793))</f>
        <v>$AH$793</v>
      </c>
      <c r="R793" s="97" t="str">
        <f ca="1">IF(J792&gt;=12,(MID(Q793,1,1)&amp;MID(Q793,2,3)+1),CELL("address",AI793))</f>
        <v>$AI$793</v>
      </c>
    </row>
    <row r="794" spans="1:15" ht="15" customHeight="1">
      <c r="A794" s="299"/>
      <c r="B794" s="299"/>
      <c r="C794" s="299"/>
      <c r="D794" s="44" t="s">
        <v>92</v>
      </c>
      <c r="E794" s="68">
        <v>0.533</v>
      </c>
      <c r="G794" s="91" t="str">
        <f>CONCATENATE(D794," - ",E794,", ")</f>
        <v>3/ core XLPE Alu cable scrap - 0.533, </v>
      </c>
      <c r="H794" s="97"/>
      <c r="I794" s="97" t="e">
        <f ca="1">IF(G793&gt;=6,(MID(H794,1,1)&amp;MID(H794,2,3)+1),CELL("address",Z794))</f>
        <v>#VALUE!</v>
      </c>
      <c r="J794" s="97" t="e">
        <f ca="1">IF(G793&gt;=7,(MID(I794,1,1)&amp;MID(I794,2,3)+1),CELL("address",AA794))</f>
        <v>#VALUE!</v>
      </c>
      <c r="K794" s="97" t="e">
        <f ca="1">IF(G793&gt;=8,(MID(J794,1,1)&amp;MID(J794,2,3)+1),CELL("address",AB794))</f>
        <v>#VALUE!</v>
      </c>
      <c r="L794" s="97" t="e">
        <f ca="1">IF(G793&gt;=9,(MID(K794,1,1)&amp;MID(K794,2,3)+1),CELL("address",AC794))</f>
        <v>#VALUE!</v>
      </c>
      <c r="M794" s="97" t="e">
        <f ca="1">IF(G793&gt;=10,(MID(L794,1,1)&amp;MID(L794,2,3)+1),CELL("address",AD794))</f>
        <v>#VALUE!</v>
      </c>
      <c r="N794" s="97" t="e">
        <f ca="1">IF(G793&gt;=11,(MID(M794,1,1)&amp;MID(M794,2,3)+1),CELL("address",AE794))</f>
        <v>#VALUE!</v>
      </c>
      <c r="O794" s="97" t="e">
        <f ca="1">IF(G793&gt;=12,(MID(N794,1,1)&amp;MID(N794,2,3)+1),CELL("address",AF794))</f>
        <v>#VALUE!</v>
      </c>
    </row>
    <row r="795" spans="1:8" ht="15" customHeight="1">
      <c r="A795" s="299"/>
      <c r="B795" s="299"/>
      <c r="C795" s="299"/>
      <c r="D795" s="44" t="s">
        <v>171</v>
      </c>
      <c r="E795" s="68">
        <v>0.183</v>
      </c>
      <c r="G795" s="91" t="str">
        <f>CONCATENATE(D795," - ",E795,", ")</f>
        <v>1/core PVC Alumn. Cable scrap - 0.183, </v>
      </c>
      <c r="H795" s="1"/>
    </row>
    <row r="796" spans="1:8" ht="15" customHeight="1">
      <c r="A796" s="299"/>
      <c r="B796" s="299"/>
      <c r="C796" s="299"/>
      <c r="D796" s="44" t="s">
        <v>90</v>
      </c>
      <c r="E796" s="68">
        <v>0.305</v>
      </c>
      <c r="G796" s="91" t="str">
        <f>CONCATENATE(D796," - ",E796,", ")</f>
        <v>2/core PVC Alumn. Cable scrap - 0.305, </v>
      </c>
      <c r="H796" s="1"/>
    </row>
    <row r="797" spans="1:8" ht="15" customHeight="1">
      <c r="A797" s="50"/>
      <c r="B797" s="53"/>
      <c r="C797" s="96"/>
      <c r="D797" s="33"/>
      <c r="E797" s="209"/>
      <c r="H797" s="1"/>
    </row>
    <row r="798" spans="1:8" ht="15" customHeight="1">
      <c r="A798" s="39"/>
      <c r="B798" s="312"/>
      <c r="C798" s="313"/>
      <c r="D798" s="212"/>
      <c r="E798" s="56">
        <f>SUM(E800:E802)</f>
        <v>2.266</v>
      </c>
      <c r="F798" s="97"/>
      <c r="H798" s="1"/>
    </row>
    <row r="799" spans="1:18" ht="15" customHeight="1">
      <c r="A799" s="39" t="s">
        <v>5</v>
      </c>
      <c r="B799" s="299" t="s">
        <v>17</v>
      </c>
      <c r="C799" s="299"/>
      <c r="D799" s="207" t="s">
        <v>18</v>
      </c>
      <c r="E799" s="38" t="s">
        <v>7</v>
      </c>
      <c r="F799" s="97"/>
      <c r="G799" s="92" t="str">
        <f>CONCATENATE("Cable Scrap, Lying at ",B800,". Quantity in MT - ")</f>
        <v>Cable Scrap, Lying at OL Fazilka. Quantity in MT - </v>
      </c>
      <c r="H799" s="297" t="str">
        <f ca="1">CONCATENATE(G799,G800,(INDIRECT(I800)),(INDIRECT(J800)),(INDIRECT(K800)),(INDIRECT(L800)),(INDIRECT(M800)),(INDIRECT(N800)),(INDIRECT(O800)),(INDIRECT(P800)),(INDIRECT(Q800)),(INDIRECT(R800)))</f>
        <v>Cable Scrap, Lying at OL Fazilka. Quantity in MT - 2/core PVC Alumn. Cable scrap - 0.198, 4/core PVC Alumn. Cable scrap - 0.914, 3/ core XLPE Alu cable scrap - 1.154, </v>
      </c>
      <c r="I799" s="97" t="str">
        <f aca="true" ca="1" t="array" ref="I799">CELL("address",INDEX(G799:G823,MATCH(TRUE,ISBLANK(G799:G823),0)))</f>
        <v>$G$803</v>
      </c>
      <c r="J799" s="97">
        <f aca="true" t="array" ref="J799">MATCH(TRUE,ISBLANK(G799:G823),0)</f>
        <v>5</v>
      </c>
      <c r="K799" s="97">
        <f>J799-3</f>
        <v>2</v>
      </c>
      <c r="L799" s="97"/>
      <c r="M799" s="97"/>
      <c r="N799" s="97"/>
      <c r="O799" s="97"/>
      <c r="P799" s="97"/>
      <c r="Q799" s="97"/>
      <c r="R799" s="97"/>
    </row>
    <row r="800" spans="1:18" ht="15" customHeight="1">
      <c r="A800" s="299" t="s">
        <v>250</v>
      </c>
      <c r="B800" s="299" t="s">
        <v>112</v>
      </c>
      <c r="C800" s="299"/>
      <c r="D800" s="44" t="s">
        <v>90</v>
      </c>
      <c r="E800" s="68">
        <v>0.198</v>
      </c>
      <c r="G800" s="91" t="str">
        <f>CONCATENATE(D800," - ",E800,", ")</f>
        <v>2/core PVC Alumn. Cable scrap - 0.198, </v>
      </c>
      <c r="H800" s="297"/>
      <c r="I800" s="97" t="str">
        <f ca="1">IF(J799&gt;=3,(MID(I799,2,1)&amp;MID(I799,4,3)-K799),CELL("address",Z800))</f>
        <v>G801</v>
      </c>
      <c r="J800" s="97" t="str">
        <f ca="1">IF(J799&gt;=4,(MID(I800,1,1)&amp;MID(I800,2,3)+1),CELL("address",AA800))</f>
        <v>G802</v>
      </c>
      <c r="K800" s="97" t="str">
        <f ca="1">IF(J799&gt;=5,(MID(J800,1,1)&amp;MID(J800,2,3)+1),CELL("address",AB800))</f>
        <v>G803</v>
      </c>
      <c r="L800" s="97" t="str">
        <f ca="1">IF(J799&gt;=6,(MID(K800,1,1)&amp;MID(K800,2,3)+1),CELL("address",AC800))</f>
        <v>$AC$800</v>
      </c>
      <c r="M800" s="97" t="str">
        <f ca="1">IF(J799&gt;=7,(MID(L800,1,1)&amp;MID(L800,2,3)+1),CELL("address",AD800))</f>
        <v>$AD$800</v>
      </c>
      <c r="N800" s="97" t="str">
        <f ca="1">IF(J799&gt;=8,(MID(M800,1,1)&amp;MID(M800,2,3)+1),CELL("address",AE800))</f>
        <v>$AE$800</v>
      </c>
      <c r="O800" s="97" t="str">
        <f ca="1">IF(J799&gt;=9,(MID(N800,1,1)&amp;MID(N800,2,3)+1),CELL("address",AF800))</f>
        <v>$AF$800</v>
      </c>
      <c r="P800" s="97" t="str">
        <f ca="1">IF(J799&gt;=10,(MID(O800,1,1)&amp;MID(O800,2,3)+1),CELL("address",AG800))</f>
        <v>$AG$800</v>
      </c>
      <c r="Q800" s="97" t="str">
        <f ca="1">IF(J799&gt;=11,(MID(P800,1,1)&amp;MID(P800,2,3)+1),CELL("address",AH800))</f>
        <v>$AH$800</v>
      </c>
      <c r="R800" s="97" t="str">
        <f ca="1">IF(J799&gt;=12,(MID(Q800,1,1)&amp;MID(Q800,2,3)+1),CELL("address",AI800))</f>
        <v>$AI$800</v>
      </c>
    </row>
    <row r="801" spans="1:8" ht="15" customHeight="1">
      <c r="A801" s="299"/>
      <c r="B801" s="299"/>
      <c r="C801" s="299"/>
      <c r="D801" s="44" t="s">
        <v>91</v>
      </c>
      <c r="E801" s="68">
        <v>0.914</v>
      </c>
      <c r="G801" s="91" t="str">
        <f>CONCATENATE(D801," - ",E801,", ")</f>
        <v>4/core PVC Alumn. Cable scrap - 0.914, </v>
      </c>
      <c r="H801" s="1"/>
    </row>
    <row r="802" spans="1:8" ht="15" customHeight="1">
      <c r="A802" s="299"/>
      <c r="B802" s="299"/>
      <c r="C802" s="299"/>
      <c r="D802" s="80" t="s">
        <v>92</v>
      </c>
      <c r="E802" s="68">
        <v>1.154</v>
      </c>
      <c r="G802" s="91" t="str">
        <f>CONCATENATE(D802," - ",E802,", ")</f>
        <v>3/ core XLPE Alu cable scrap - 1.154, </v>
      </c>
      <c r="H802" s="1"/>
    </row>
    <row r="803" spans="1:8" ht="15" customHeight="1">
      <c r="A803" s="38"/>
      <c r="B803" s="40"/>
      <c r="C803" s="41"/>
      <c r="D803" s="44"/>
      <c r="E803" s="68"/>
      <c r="H803" s="1"/>
    </row>
    <row r="804" spans="1:8" ht="15" customHeight="1">
      <c r="A804" s="49"/>
      <c r="B804" s="255"/>
      <c r="C804" s="256"/>
      <c r="D804" s="79"/>
      <c r="E804" s="174">
        <f>SUM(E806:E809)</f>
        <v>7.575</v>
      </c>
      <c r="H804" s="1"/>
    </row>
    <row r="805" spans="1:18" ht="15" customHeight="1">
      <c r="A805" s="39" t="s">
        <v>5</v>
      </c>
      <c r="B805" s="301" t="s">
        <v>17</v>
      </c>
      <c r="C805" s="306"/>
      <c r="D805" s="208" t="s">
        <v>18</v>
      </c>
      <c r="E805" s="38" t="s">
        <v>7</v>
      </c>
      <c r="F805" s="97"/>
      <c r="G805" s="92" t="str">
        <f>CONCATENATE("Cable Scrap, Lying at ",B806,". Quantity in MT - ")</f>
        <v>Cable Scrap, Lying at OL Malerkotla. Quantity in MT - </v>
      </c>
      <c r="H805" s="297" t="str">
        <f ca="1">CONCATENATE(G805,G806,(INDIRECT(I806)),(INDIRECT(J806)),(INDIRECT(K806)),(INDIRECT(L806)),(INDIRECT(M806)),(INDIRECT(N806)),(INDIRECT(O806)),(INDIRECT(P806)),(INDIRECT(Q806)),(INDIRECT(R806)))</f>
        <v>Cable Scrap, Lying at OL Malerkotla. Quantity in MT - 2/core PVC Alumn. Cable scrap - 0.84, 4/core PVC Alumn. Cable scrap - 1.18, 3/ core XLPE Alu cable scrap - 2.539, ABC cable scrap (70/95 mm) - 3.016, </v>
      </c>
      <c r="I805" s="97" t="str">
        <f aca="true" ca="1" t="array" ref="I805">CELL("address",INDEX(G805:G829,MATCH(TRUE,ISBLANK(G805:G829),0)))</f>
        <v>$G$810</v>
      </c>
      <c r="J805" s="97">
        <f aca="true" t="array" ref="J805">MATCH(TRUE,ISBLANK(G805:G829),0)</f>
        <v>6</v>
      </c>
      <c r="K805" s="97">
        <f>J805-3</f>
        <v>3</v>
      </c>
      <c r="L805" s="97"/>
      <c r="M805" s="97"/>
      <c r="N805" s="97"/>
      <c r="O805" s="97"/>
      <c r="P805" s="97"/>
      <c r="Q805" s="97"/>
      <c r="R805" s="97"/>
    </row>
    <row r="806" spans="1:18" ht="15" customHeight="1">
      <c r="A806" s="299" t="s">
        <v>262</v>
      </c>
      <c r="B806" s="299" t="s">
        <v>126</v>
      </c>
      <c r="C806" s="299"/>
      <c r="D806" s="44" t="s">
        <v>90</v>
      </c>
      <c r="E806" s="38">
        <v>0.84</v>
      </c>
      <c r="F806" s="97"/>
      <c r="G806" s="91" t="str">
        <f>CONCATENATE(D806," - ",E806,", ")</f>
        <v>2/core PVC Alumn. Cable scrap - 0.84, </v>
      </c>
      <c r="H806" s="297"/>
      <c r="I806" s="97" t="str">
        <f ca="1">IF(J805&gt;=3,(MID(I805,2,1)&amp;MID(I805,4,3)-K805),CELL("address",Z806))</f>
        <v>G807</v>
      </c>
      <c r="J806" s="97" t="str">
        <f ca="1">IF(J805&gt;=4,(MID(I806,1,1)&amp;MID(I806,2,3)+1),CELL("address",AA806))</f>
        <v>G808</v>
      </c>
      <c r="K806" s="97" t="str">
        <f ca="1">IF(J805&gt;=5,(MID(J806,1,1)&amp;MID(J806,2,3)+1),CELL("address",AB806))</f>
        <v>G809</v>
      </c>
      <c r="L806" s="97" t="str">
        <f ca="1">IF(J805&gt;=6,(MID(K806,1,1)&amp;MID(K806,2,3)+1),CELL("address",AC806))</f>
        <v>G810</v>
      </c>
      <c r="M806" s="97" t="str">
        <f ca="1">IF(J805&gt;=7,(MID(L806,1,1)&amp;MID(L806,2,3)+1),CELL("address",AD806))</f>
        <v>$AD$806</v>
      </c>
      <c r="N806" s="97" t="str">
        <f ca="1">IF(J805&gt;=8,(MID(M806,1,1)&amp;MID(M806,2,3)+1),CELL("address",AE806))</f>
        <v>$AE$806</v>
      </c>
      <c r="O806" s="97" t="str">
        <f ca="1">IF(J805&gt;=9,(MID(N806,1,1)&amp;MID(N806,2,3)+1),CELL("address",AF806))</f>
        <v>$AF$806</v>
      </c>
      <c r="P806" s="97" t="str">
        <f ca="1">IF(J805&gt;=10,(MID(O806,1,1)&amp;MID(O806,2,3)+1),CELL("address",AG806))</f>
        <v>$AG$806</v>
      </c>
      <c r="Q806" s="97" t="str">
        <f ca="1">IF(J805&gt;=11,(MID(P806,1,1)&amp;MID(P806,2,3)+1),CELL("address",AH806))</f>
        <v>$AH$806</v>
      </c>
      <c r="R806" s="97" t="str">
        <f ca="1">IF(J805&gt;=12,(MID(Q806,1,1)&amp;MID(Q806,2,3)+1),CELL("address",AI806))</f>
        <v>$AI$806</v>
      </c>
    </row>
    <row r="807" spans="1:15" ht="15" customHeight="1">
      <c r="A807" s="299"/>
      <c r="B807" s="299"/>
      <c r="C807" s="299"/>
      <c r="D807" s="44" t="s">
        <v>91</v>
      </c>
      <c r="E807" s="68">
        <v>1.18</v>
      </c>
      <c r="G807" s="91" t="str">
        <f>CONCATENATE(D807," - ",E807,", ")</f>
        <v>4/core PVC Alumn. Cable scrap - 1.18, </v>
      </c>
      <c r="H807" s="97"/>
      <c r="I807" s="97" t="e">
        <f ca="1">IF(G806&gt;=6,(MID(H807,1,1)&amp;MID(H807,2,3)+1),CELL("address",Z807))</f>
        <v>#VALUE!</v>
      </c>
      <c r="J807" s="97" t="e">
        <f ca="1">IF(G806&gt;=7,(MID(I807,1,1)&amp;MID(I807,2,3)+1),CELL("address",AA807))</f>
        <v>#VALUE!</v>
      </c>
      <c r="K807" s="97" t="e">
        <f ca="1">IF(G806&gt;=8,(MID(J807,1,1)&amp;MID(J807,2,3)+1),CELL("address",AB807))</f>
        <v>#VALUE!</v>
      </c>
      <c r="L807" s="97" t="e">
        <f ca="1">IF(G806&gt;=9,(MID(K807,1,1)&amp;MID(K807,2,3)+1),CELL("address",AC807))</f>
        <v>#VALUE!</v>
      </c>
      <c r="M807" s="97" t="e">
        <f ca="1">IF(G806&gt;=10,(MID(L807,1,1)&amp;MID(L807,2,3)+1),CELL("address",AD807))</f>
        <v>#VALUE!</v>
      </c>
      <c r="N807" s="97" t="e">
        <f ca="1">IF(G806&gt;=11,(MID(M807,1,1)&amp;MID(M807,2,3)+1),CELL("address",AE807))</f>
        <v>#VALUE!</v>
      </c>
      <c r="O807" s="97" t="e">
        <f ca="1">IF(G806&gt;=12,(MID(N807,1,1)&amp;MID(N807,2,3)+1),CELL("address",AF807))</f>
        <v>#VALUE!</v>
      </c>
    </row>
    <row r="808" spans="1:8" ht="15" customHeight="1">
      <c r="A808" s="299"/>
      <c r="B808" s="299"/>
      <c r="C808" s="299"/>
      <c r="D808" s="44" t="s">
        <v>92</v>
      </c>
      <c r="E808" s="68">
        <v>2.539</v>
      </c>
      <c r="G808" s="91" t="str">
        <f>CONCATENATE(D808," - ",E808,", ")</f>
        <v>3/ core XLPE Alu cable scrap - 2.539, </v>
      </c>
      <c r="H808" s="1"/>
    </row>
    <row r="809" spans="1:8" ht="15" customHeight="1">
      <c r="A809" s="299"/>
      <c r="B809" s="299"/>
      <c r="C809" s="299"/>
      <c r="D809" s="70" t="s">
        <v>168</v>
      </c>
      <c r="E809" s="264">
        <v>3.016</v>
      </c>
      <c r="G809" s="91" t="str">
        <f>CONCATENATE(D809," - ",E809,", ")</f>
        <v>ABC cable scrap (70/95 mm) - 3.016, </v>
      </c>
      <c r="H809" s="1"/>
    </row>
    <row r="810" spans="1:8" ht="15" customHeight="1">
      <c r="A810" s="38"/>
      <c r="B810" s="40"/>
      <c r="C810" s="41"/>
      <c r="D810" s="75"/>
      <c r="E810" s="170"/>
      <c r="H810" s="1"/>
    </row>
    <row r="811" spans="1:8" ht="15" customHeight="1">
      <c r="A811" s="49"/>
      <c r="B811" s="255"/>
      <c r="C811" s="256"/>
      <c r="D811" s="79"/>
      <c r="E811" s="174">
        <f>SUM(E813:E816)</f>
        <v>5.276</v>
      </c>
      <c r="H811" s="1"/>
    </row>
    <row r="812" spans="1:18" ht="15" customHeight="1">
      <c r="A812" s="39" t="s">
        <v>5</v>
      </c>
      <c r="B812" s="301" t="s">
        <v>17</v>
      </c>
      <c r="C812" s="306"/>
      <c r="D812" s="208" t="s">
        <v>18</v>
      </c>
      <c r="E812" s="38" t="s">
        <v>7</v>
      </c>
      <c r="G812" s="92" t="str">
        <f>CONCATENATE("Cable Scrap, Lying at ",B813,". Quantity in MT - ")</f>
        <v>Cable Scrap, Lying at OL Moga. Quantity in MT - </v>
      </c>
      <c r="H812" s="297" t="str">
        <f ca="1">CONCATENATE(G812,G813,(INDIRECT(I813)),(INDIRECT(J813)),(INDIRECT(K813)),(INDIRECT(L813)),(INDIRECT(M813)),(INDIRECT(N813)),(INDIRECT(O813)),(INDIRECT(P813)),(INDIRECT(Q813)),(INDIRECT(R813)))</f>
        <v>Cable Scrap, Lying at OL Moga. Quantity in MT - 2/core PVC Alumn. Cable scrap - 1.246, 4/core PVC Alumn. Cable scrap - 2.044, 1/ core XLPE Alu cable scrap - 0.299, 3/ core XLPE Alu cable scrap - 1.687, </v>
      </c>
      <c r="I812" s="97" t="str">
        <f aca="true" ca="1" t="array" ref="I812">CELL("address",INDEX(G812:G836,MATCH(TRUE,ISBLANK(G812:G836),0)))</f>
        <v>$G$817</v>
      </c>
      <c r="J812" s="97">
        <f aca="true" t="array" ref="J812">MATCH(TRUE,ISBLANK(G812:G836),0)</f>
        <v>6</v>
      </c>
      <c r="K812" s="97">
        <f>J812-3</f>
        <v>3</v>
      </c>
      <c r="L812" s="97"/>
      <c r="M812" s="97"/>
      <c r="N812" s="97"/>
      <c r="O812" s="97"/>
      <c r="P812" s="97"/>
      <c r="Q812" s="97"/>
      <c r="R812" s="97"/>
    </row>
    <row r="813" spans="1:18" ht="15" customHeight="1">
      <c r="A813" s="299" t="s">
        <v>266</v>
      </c>
      <c r="B813" s="299" t="s">
        <v>267</v>
      </c>
      <c r="C813" s="299"/>
      <c r="D813" s="44" t="s">
        <v>90</v>
      </c>
      <c r="E813" s="38">
        <v>1.246</v>
      </c>
      <c r="F813" s="97"/>
      <c r="G813" s="91" t="str">
        <f>CONCATENATE(D813," - ",E813,", ")</f>
        <v>2/core PVC Alumn. Cable scrap - 1.246, </v>
      </c>
      <c r="H813" s="297"/>
      <c r="I813" s="97" t="str">
        <f ca="1">IF(J812&gt;=3,(MID(I812,2,1)&amp;MID(I812,4,3)-K812),CELL("address",Z813))</f>
        <v>G814</v>
      </c>
      <c r="J813" s="97" t="str">
        <f ca="1">IF(J812&gt;=4,(MID(I813,1,1)&amp;MID(I813,2,3)+1),CELL("address",AA813))</f>
        <v>G815</v>
      </c>
      <c r="K813" s="97" t="str">
        <f ca="1">IF(J812&gt;=5,(MID(J813,1,1)&amp;MID(J813,2,3)+1),CELL("address",AB813))</f>
        <v>G816</v>
      </c>
      <c r="L813" s="97" t="str">
        <f ca="1">IF(J812&gt;=6,(MID(K813,1,1)&amp;MID(K813,2,3)+1),CELL("address",AC813))</f>
        <v>G817</v>
      </c>
      <c r="M813" s="97" t="str">
        <f ca="1">IF(J812&gt;=7,(MID(L813,1,1)&amp;MID(L813,2,3)+1),CELL("address",AD813))</f>
        <v>$AD$813</v>
      </c>
      <c r="N813" s="97" t="str">
        <f ca="1">IF(J812&gt;=8,(MID(M813,1,1)&amp;MID(M813,2,3)+1),CELL("address",AE813))</f>
        <v>$AE$813</v>
      </c>
      <c r="O813" s="97" t="str">
        <f ca="1">IF(J812&gt;=9,(MID(N813,1,1)&amp;MID(N813,2,3)+1),CELL("address",AF813))</f>
        <v>$AF$813</v>
      </c>
      <c r="P813" s="97" t="str">
        <f ca="1">IF(J812&gt;=10,(MID(O813,1,1)&amp;MID(O813,2,3)+1),CELL("address",AG813))</f>
        <v>$AG$813</v>
      </c>
      <c r="Q813" s="97" t="str">
        <f ca="1">IF(J812&gt;=11,(MID(P813,1,1)&amp;MID(P813,2,3)+1),CELL("address",AH813))</f>
        <v>$AH$813</v>
      </c>
      <c r="R813" s="97" t="str">
        <f ca="1">IF(J812&gt;=12,(MID(Q813,1,1)&amp;MID(Q813,2,3)+1),CELL("address",AI813))</f>
        <v>$AI$813</v>
      </c>
    </row>
    <row r="814" spans="1:15" ht="15" customHeight="1">
      <c r="A814" s="299"/>
      <c r="B814" s="299"/>
      <c r="C814" s="299"/>
      <c r="D814" s="44" t="s">
        <v>91</v>
      </c>
      <c r="E814" s="68">
        <v>2.044</v>
      </c>
      <c r="F814" s="97"/>
      <c r="G814" s="91" t="str">
        <f>CONCATENATE(D814," - ",E814,", ")</f>
        <v>4/core PVC Alumn. Cable scrap - 2.044, </v>
      </c>
      <c r="H814" s="97"/>
      <c r="I814" s="97"/>
      <c r="J814" s="97"/>
      <c r="K814" s="97"/>
      <c r="L814" s="97"/>
      <c r="M814" s="97"/>
      <c r="N814" s="97"/>
      <c r="O814" s="97"/>
    </row>
    <row r="815" spans="1:15" ht="15" customHeight="1">
      <c r="A815" s="299"/>
      <c r="B815" s="299"/>
      <c r="C815" s="299"/>
      <c r="D815" s="44" t="s">
        <v>97</v>
      </c>
      <c r="E815" s="68">
        <v>0.299</v>
      </c>
      <c r="G815" s="91" t="str">
        <f>CONCATENATE(D815," - ",E815,", ")</f>
        <v>1/ core XLPE Alu cable scrap - 0.299, </v>
      </c>
      <c r="H815" s="97"/>
      <c r="I815" s="97" t="e">
        <f ca="1">IF(G813&gt;=6,(MID(H815,1,1)&amp;MID(H815,2,3)+1),CELL("address",Z815))</f>
        <v>#VALUE!</v>
      </c>
      <c r="J815" s="97" t="e">
        <f ca="1">IF(G813&gt;=7,(MID(I815,1,1)&amp;MID(I815,2,3)+1),CELL("address",AA815))</f>
        <v>#VALUE!</v>
      </c>
      <c r="K815" s="97" t="e">
        <f ca="1">IF(G813&gt;=8,(MID(J815,1,1)&amp;MID(J815,2,3)+1),CELL("address",AB815))</f>
        <v>#VALUE!</v>
      </c>
      <c r="L815" s="97" t="e">
        <f ca="1">IF(G813&gt;=9,(MID(K815,1,1)&amp;MID(K815,2,3)+1),CELL("address",AC815))</f>
        <v>#VALUE!</v>
      </c>
      <c r="M815" s="97" t="e">
        <f ca="1">IF(G813&gt;=10,(MID(L815,1,1)&amp;MID(L815,2,3)+1),CELL("address",AD815))</f>
        <v>#VALUE!</v>
      </c>
      <c r="N815" s="97" t="e">
        <f ca="1">IF(G813&gt;=11,(MID(M815,1,1)&amp;MID(M815,2,3)+1),CELL("address",AE815))</f>
        <v>#VALUE!</v>
      </c>
      <c r="O815" s="97" t="e">
        <f ca="1">IF(G813&gt;=12,(MID(N815,1,1)&amp;MID(N815,2,3)+1),CELL("address",AF815))</f>
        <v>#VALUE!</v>
      </c>
    </row>
    <row r="816" spans="1:8" ht="15" customHeight="1">
      <c r="A816" s="299"/>
      <c r="B816" s="299"/>
      <c r="C816" s="299"/>
      <c r="D816" s="44" t="s">
        <v>92</v>
      </c>
      <c r="E816" s="264">
        <v>1.687</v>
      </c>
      <c r="G816" s="91" t="str">
        <f>CONCATENATE(D816," - ",E816,", ")</f>
        <v>3/ core XLPE Alu cable scrap - 1.687, </v>
      </c>
      <c r="H816" s="1"/>
    </row>
    <row r="817" spans="1:8" ht="13.5" customHeight="1">
      <c r="A817" s="38"/>
      <c r="B817" s="40"/>
      <c r="C817" s="41"/>
      <c r="D817" s="33"/>
      <c r="E817" s="170"/>
      <c r="F817" s="119"/>
      <c r="H817" s="1"/>
    </row>
    <row r="818" spans="1:8" ht="20.25" customHeight="1">
      <c r="A818" s="12" t="s">
        <v>13</v>
      </c>
      <c r="B818" s="13"/>
      <c r="C818" s="9"/>
      <c r="D818" s="33"/>
      <c r="E818" s="248"/>
      <c r="F818" s="97"/>
      <c r="G818" s="97"/>
      <c r="H818" s="1"/>
    </row>
    <row r="819" spans="1:15" ht="15" customHeight="1">
      <c r="A819" s="52"/>
      <c r="B819" s="53"/>
      <c r="C819" s="54"/>
      <c r="D819" s="54"/>
      <c r="E819" s="160">
        <f>SUM(E821:E822)</f>
        <v>22.312</v>
      </c>
      <c r="F819" s="97"/>
      <c r="G819" s="288"/>
      <c r="H819" s="288"/>
      <c r="I819" s="97"/>
      <c r="J819" s="97"/>
      <c r="K819" s="97"/>
      <c r="L819" s="97"/>
      <c r="M819" s="97"/>
      <c r="N819" s="97"/>
      <c r="O819" s="97"/>
    </row>
    <row r="820" spans="1:18" ht="15" customHeight="1">
      <c r="A820" s="299" t="s">
        <v>5</v>
      </c>
      <c r="B820" s="299"/>
      <c r="C820" s="55" t="s">
        <v>17</v>
      </c>
      <c r="D820" s="207" t="s">
        <v>18</v>
      </c>
      <c r="E820" s="38" t="s">
        <v>7</v>
      </c>
      <c r="G820" s="92" t="str">
        <f>CONCATENATE("Misc. Iron Scrap, Lying at ",C821,". Quantity in MT - ")</f>
        <v>Misc. Iron Scrap, Lying at Pilot W/Shop Sri Muktsar Sahib. Quantity in MT - </v>
      </c>
      <c r="H820" s="297" t="str">
        <f ca="1">CONCATENATE(G820,G821,(INDIRECT(I821)),(INDIRECT(J821)),(INDIRECT(K821)),(INDIRECT(L821)),(INDIRECT(M821)),(INDIRECT(N821)),(INDIRECT(O821)),(INDIRECT(P821)),(INDIRECT(Q821)),(INDIRECT(R821)),".")</f>
        <v>Misc. Iron Scrap, Lying at Pilot W/Shop Sri Muktsar Sahib. Quantity in MT - MS iron scrap / GI scrap - 10.182, HT wire scrap off size - 12.13, .</v>
      </c>
      <c r="I820" s="97" t="str">
        <f aca="true" ca="1" t="array" ref="I820">CELL("address",INDEX(G820:G838,MATCH(TRUE,ISBLANK(G820:G838),0)))</f>
        <v>$G$823</v>
      </c>
      <c r="J820" s="97">
        <f aca="true" t="array" ref="J820">MATCH(TRUE,ISBLANK(G820:G838),0)</f>
        <v>4</v>
      </c>
      <c r="K820" s="97">
        <f>J820-3</f>
        <v>1</v>
      </c>
      <c r="L820" s="97"/>
      <c r="M820" s="97"/>
      <c r="N820" s="97"/>
      <c r="O820" s="97"/>
      <c r="P820" s="97"/>
      <c r="Q820" s="97"/>
      <c r="R820" s="97"/>
    </row>
    <row r="821" spans="1:18" ht="15" customHeight="1">
      <c r="A821" s="326" t="s">
        <v>21</v>
      </c>
      <c r="B821" s="378"/>
      <c r="C821" s="300" t="s">
        <v>19</v>
      </c>
      <c r="D821" s="39" t="s">
        <v>20</v>
      </c>
      <c r="E821" s="68">
        <v>10.182</v>
      </c>
      <c r="G821" s="91" t="str">
        <f>CONCATENATE(D821," - ",E821,", ")</f>
        <v>MS iron scrap / GI scrap - 10.182, </v>
      </c>
      <c r="H821" s="297"/>
      <c r="I821" s="97" t="str">
        <f ca="1">IF(J820&gt;=3,(MID(I820,2,1)&amp;MID(I820,4,3)-K820),CELL("address",Z821))</f>
        <v>G822</v>
      </c>
      <c r="J821" s="97" t="str">
        <f ca="1">IF(J820&gt;=4,(MID(I821,1,1)&amp;MID(I821,2,3)+1),CELL("address",AA821))</f>
        <v>G823</v>
      </c>
      <c r="K821" s="97" t="str">
        <f ca="1">IF(J820&gt;=5,(MID(J821,1,1)&amp;MID(J821,2,3)+1),CELL("address",AB821))</f>
        <v>$AB$821</v>
      </c>
      <c r="L821" s="97" t="str">
        <f ca="1">IF(J820&gt;=6,(MID(K821,1,1)&amp;MID(K821,2,3)+1),CELL("address",AC821))</f>
        <v>$AC$821</v>
      </c>
      <c r="M821" s="97" t="str">
        <f ca="1">IF(J820&gt;=7,(MID(L821,1,1)&amp;MID(L821,2,3)+1),CELL("address",AD821))</f>
        <v>$AD$821</v>
      </c>
      <c r="N821" s="97" t="str">
        <f ca="1">IF(J820&gt;=8,(MID(M821,1,1)&amp;MID(M821,2,3)+1),CELL("address",AE821))</f>
        <v>$AE$821</v>
      </c>
      <c r="O821" s="97" t="str">
        <f ca="1">IF(J820&gt;=9,(MID(N821,1,1)&amp;MID(N821,2,3)+1),CELL("address",AF821))</f>
        <v>$AF$821</v>
      </c>
      <c r="P821" s="97" t="str">
        <f ca="1">IF(J820&gt;=10,(MID(O821,1,1)&amp;MID(O821,2,3)+1),CELL("address",AG821))</f>
        <v>$AG$821</v>
      </c>
      <c r="Q821" s="97" t="str">
        <f ca="1">IF(J820&gt;=11,(MID(P821,1,1)&amp;MID(P821,2,3)+1),CELL("address",AH821))</f>
        <v>$AH$821</v>
      </c>
      <c r="R821" s="97" t="str">
        <f ca="1">IF(J820&gt;=12,(MID(Q821,1,1)&amp;MID(Q821,2,3)+1),CELL("address",AI821))</f>
        <v>$AI$821</v>
      </c>
    </row>
    <row r="822" spans="1:8" ht="15" customHeight="1">
      <c r="A822" s="359"/>
      <c r="B822" s="360"/>
      <c r="C822" s="377"/>
      <c r="D822" s="39" t="s">
        <v>71</v>
      </c>
      <c r="E822" s="68">
        <v>12.13</v>
      </c>
      <c r="G822" s="91" t="str">
        <f>CONCATENATE(D822," - ",E822,", ")</f>
        <v>HT wire scrap off size - 12.13, </v>
      </c>
      <c r="H822" s="1"/>
    </row>
    <row r="823" spans="1:8" ht="15" customHeight="1">
      <c r="A823" s="38"/>
      <c r="B823" s="40"/>
      <c r="C823" s="47"/>
      <c r="D823" s="37"/>
      <c r="E823" s="175"/>
      <c r="F823" s="97"/>
      <c r="G823" s="91"/>
      <c r="H823" s="1"/>
    </row>
    <row r="824" spans="1:15" ht="15" customHeight="1">
      <c r="A824" s="52"/>
      <c r="B824" s="53"/>
      <c r="C824" s="54"/>
      <c r="D824" s="54"/>
      <c r="E824" s="160">
        <f>SUM(E826:E827)</f>
        <v>19.325</v>
      </c>
      <c r="F824" s="97"/>
      <c r="G824" s="97"/>
      <c r="H824" s="97"/>
      <c r="I824" s="97"/>
      <c r="J824" s="97"/>
      <c r="K824" s="97"/>
      <c r="L824" s="97"/>
      <c r="M824" s="97"/>
      <c r="N824" s="97"/>
      <c r="O824" s="97"/>
    </row>
    <row r="825" spans="1:18" ht="15" customHeight="1">
      <c r="A825" s="299" t="s">
        <v>5</v>
      </c>
      <c r="B825" s="299"/>
      <c r="C825" s="55" t="s">
        <v>17</v>
      </c>
      <c r="D825" s="207" t="s">
        <v>18</v>
      </c>
      <c r="E825" s="38" t="s">
        <v>7</v>
      </c>
      <c r="G825" s="92" t="str">
        <f>CONCATENATE("Misc. Iron Scrap, Lying at ",C826,". Quantity in MT - ")</f>
        <v>Misc. Iron Scrap, Lying at Pilot Workshop Mohali. Quantity in MT - </v>
      </c>
      <c r="H825" s="297" t="str">
        <f ca="1">CONCATENATE(G825,G826,(INDIRECT(I826)),(INDIRECT(J826)),(INDIRECT(K826)),(INDIRECT(L826)),(INDIRECT(M826)),(INDIRECT(N826)),(INDIRECT(O826)),(INDIRECT(P826)),(INDIRECT(Q826)),(INDIRECT(R826)),".")</f>
        <v>Misc. Iron Scrap, Lying at Pilot Workshop Mohali. Quantity in MT - HT Wire scrap &amp; other intermingled iron scrap - 14, MS iron scrap ( MS sections, scrapped T&amp;P etc) - 5.325, .</v>
      </c>
      <c r="I825" s="97" t="str">
        <f aca="true" ca="1" t="array" ref="I825">CELL("address",INDEX(G825:G842,MATCH(TRUE,ISBLANK(G825:G842),0)))</f>
        <v>$G$828</v>
      </c>
      <c r="J825" s="97">
        <f aca="true" t="array" ref="J825">MATCH(TRUE,ISBLANK(G825:G842),0)</f>
        <v>4</v>
      </c>
      <c r="K825" s="97">
        <f>J825-3</f>
        <v>1</v>
      </c>
      <c r="L825" s="97"/>
      <c r="M825" s="97"/>
      <c r="N825" s="97"/>
      <c r="O825" s="97"/>
      <c r="P825" s="97"/>
      <c r="Q825" s="97"/>
      <c r="R825" s="97"/>
    </row>
    <row r="826" spans="1:18" ht="15" customHeight="1">
      <c r="A826" s="299" t="s">
        <v>30</v>
      </c>
      <c r="B826" s="299"/>
      <c r="C826" s="300" t="s">
        <v>54</v>
      </c>
      <c r="D826" s="41" t="s">
        <v>55</v>
      </c>
      <c r="E826" s="68">
        <v>14</v>
      </c>
      <c r="G826" s="91" t="str">
        <f>CONCATENATE(D826," - ",E826,", ")</f>
        <v>HT Wire scrap &amp; other intermingled iron scrap - 14, </v>
      </c>
      <c r="H826" s="297"/>
      <c r="I826" s="97" t="str">
        <f ca="1">IF(J825&gt;=3,(MID(I825,2,1)&amp;MID(I825,4,3)-K825),CELL("address",Z826))</f>
        <v>G827</v>
      </c>
      <c r="J826" s="97" t="str">
        <f ca="1">IF(J825&gt;=4,(MID(I826,1,1)&amp;MID(I826,2,3)+1),CELL("address",AA826))</f>
        <v>G828</v>
      </c>
      <c r="K826" s="97" t="str">
        <f ca="1">IF(J825&gt;=5,(MID(J826,1,1)&amp;MID(J826,2,3)+1),CELL("address",AB826))</f>
        <v>$AB$826</v>
      </c>
      <c r="L826" s="97" t="str">
        <f ca="1">IF(J825&gt;=6,(MID(K826,1,1)&amp;MID(K826,2,3)+1),CELL("address",AC826))</f>
        <v>$AC$826</v>
      </c>
      <c r="M826" s="97" t="str">
        <f ca="1">IF(J825&gt;=7,(MID(L826,1,1)&amp;MID(L826,2,3)+1),CELL("address",AD826))</f>
        <v>$AD$826</v>
      </c>
      <c r="N826" s="97" t="str">
        <f ca="1">IF(J825&gt;=8,(MID(M826,1,1)&amp;MID(M826,2,3)+1),CELL("address",AE826))</f>
        <v>$AE$826</v>
      </c>
      <c r="O826" s="97" t="str">
        <f ca="1">IF(J825&gt;=9,(MID(N826,1,1)&amp;MID(N826,2,3)+1),CELL("address",AF826))</f>
        <v>$AF$826</v>
      </c>
      <c r="P826" s="97" t="str">
        <f ca="1">IF(J825&gt;=10,(MID(O826,1,1)&amp;MID(O826,2,3)+1),CELL("address",AG826))</f>
        <v>$AG$826</v>
      </c>
      <c r="Q826" s="97" t="str">
        <f ca="1">IF(J825&gt;=11,(MID(P826,1,1)&amp;MID(P826,2,3)+1),CELL("address",AH826))</f>
        <v>$AH$826</v>
      </c>
      <c r="R826" s="97" t="str">
        <f ca="1">IF(J825&gt;=12,(MID(Q826,1,1)&amp;MID(Q826,2,3)+1),CELL("address",AI826))</f>
        <v>$AI$826</v>
      </c>
    </row>
    <row r="827" spans="1:8" ht="15" customHeight="1">
      <c r="A827" s="299"/>
      <c r="B827" s="299"/>
      <c r="C827" s="300"/>
      <c r="D827" s="73" t="s">
        <v>56</v>
      </c>
      <c r="E827" s="68">
        <v>5.325</v>
      </c>
      <c r="F827" s="97"/>
      <c r="G827" s="91" t="str">
        <f>CONCATENATE(D827," - ",E827,", ")</f>
        <v>MS iron scrap ( MS sections, scrapped T&amp;P etc) - 5.325, </v>
      </c>
      <c r="H827" s="1"/>
    </row>
    <row r="828" spans="1:15" ht="15" customHeight="1">
      <c r="A828" s="38"/>
      <c r="B828" s="40"/>
      <c r="C828" s="47"/>
      <c r="D828" s="37"/>
      <c r="E828" s="175"/>
      <c r="F828" s="97"/>
      <c r="G828" s="97"/>
      <c r="H828" s="97"/>
      <c r="I828" s="97"/>
      <c r="J828" s="97"/>
      <c r="K828" s="97"/>
      <c r="L828" s="97"/>
      <c r="M828" s="97"/>
      <c r="N828" s="97"/>
      <c r="O828" s="97"/>
    </row>
    <row r="829" spans="1:15" ht="15" customHeight="1">
      <c r="A829" s="52"/>
      <c r="B829" s="53"/>
      <c r="C829" s="53"/>
      <c r="D829" s="54"/>
      <c r="E829" s="157">
        <f>SUM(E831:E831)</f>
        <v>26687</v>
      </c>
      <c r="G829" s="97"/>
      <c r="H829" s="97"/>
      <c r="I829" s="97" t="str">
        <f ca="1">IF(G828&gt;=6,(MID(H829,1,1)&amp;MID(H829,2,3)+1),CELL("address",Z829))</f>
        <v>$Z$829</v>
      </c>
      <c r="J829" s="97" t="str">
        <f ca="1">IF(G828&gt;=7,(MID(I829,1,1)&amp;MID(I829,2,3)+1),CELL("address",AA829))</f>
        <v>$AA$829</v>
      </c>
      <c r="K829" s="97" t="str">
        <f ca="1">IF(G828&gt;=8,(MID(J829,1,1)&amp;MID(J829,2,3)+1),CELL("address",AB829))</f>
        <v>$AB$829</v>
      </c>
      <c r="L829" s="97" t="str">
        <f ca="1">IF(G828&gt;=9,(MID(K829,1,1)&amp;MID(K829,2,3)+1),CELL("address",AC829))</f>
        <v>$AC$829</v>
      </c>
      <c r="M829" s="97" t="str">
        <f ca="1">IF(G828&gt;=10,(MID(L829,1,1)&amp;MID(L829,2,3)+1),CELL("address",AD829))</f>
        <v>$AD$829</v>
      </c>
      <c r="N829" s="97" t="str">
        <f ca="1">IF(G828&gt;=11,(MID(M829,1,1)&amp;MID(M829,2,3)+1),CELL("address",AE829))</f>
        <v>$AE$829</v>
      </c>
      <c r="O829" s="97" t="str">
        <f ca="1">IF(G828&gt;=12,(MID(N829,1,1)&amp;MID(N829,2,3)+1),CELL("address",AF829))</f>
        <v>$AF$829</v>
      </c>
    </row>
    <row r="830" spans="1:18" ht="15" customHeight="1">
      <c r="A830" s="299" t="s">
        <v>5</v>
      </c>
      <c r="B830" s="299"/>
      <c r="C830" s="39" t="s">
        <v>17</v>
      </c>
      <c r="D830" s="207" t="s">
        <v>18</v>
      </c>
      <c r="E830" s="38" t="s">
        <v>69</v>
      </c>
      <c r="G830" s="92" t="str">
        <f>CONCATENATE("Misc. Iron Scrap, Lying at ",C831,". Quantity in No - ")</f>
        <v>Misc. Iron Scrap, Lying at S &amp; T Store Bathinda. Quantity in No - </v>
      </c>
      <c r="H830" s="297" t="str">
        <f ca="1">CONCATENATE(G830,G831,(INDIRECT(I831)),(INDIRECT(J831)),(INDIRECT(K831)),(INDIRECT(L831)),(INDIRECT(M831)),(INDIRECT(N831)),(INDIRECT(O831)),(INDIRECT(P831)),(INDIRECT(Q831)),(INDIRECT(R831)),".")</f>
        <v>Misc. Iron Scrap, Lying at S &amp; T Store Bathinda. Quantity in No - Disc Insulator Scrap - 26687, .</v>
      </c>
      <c r="I830" s="97" t="str">
        <f aca="true" ca="1" t="array" ref="I830">CELL("address",INDEX(G830:G850,MATCH(TRUE,ISBLANK(G830:G850),0)))</f>
        <v>$G$832</v>
      </c>
      <c r="J830" s="97">
        <f aca="true" t="array" ref="J830">MATCH(TRUE,ISBLANK(G830:G850),0)</f>
        <v>3</v>
      </c>
      <c r="K830" s="97">
        <f>J830-3</f>
        <v>0</v>
      </c>
      <c r="L830" s="97"/>
      <c r="M830" s="97"/>
      <c r="N830" s="97"/>
      <c r="O830" s="97"/>
      <c r="P830" s="97"/>
      <c r="Q830" s="97"/>
      <c r="R830" s="97"/>
    </row>
    <row r="831" spans="1:18" ht="15" customHeight="1">
      <c r="A831" s="326" t="s">
        <v>33</v>
      </c>
      <c r="B831" s="327"/>
      <c r="C831" s="252" t="s">
        <v>57</v>
      </c>
      <c r="D831" s="39" t="s">
        <v>70</v>
      </c>
      <c r="E831" s="158">
        <v>26687</v>
      </c>
      <c r="G831" s="91" t="str">
        <f>CONCATENATE(D831," - ",E831,", ")</f>
        <v>Disc Insulator Scrap - 26687, </v>
      </c>
      <c r="H831" s="297"/>
      <c r="I831" s="97" t="str">
        <f ca="1">IF(J830&gt;=3,(MID(I830,2,1)&amp;MID(I830,4,3)-K830),CELL("address",Z831))</f>
        <v>G832</v>
      </c>
      <c r="J831" s="97" t="str">
        <f ca="1">IF(J830&gt;=4,(MID(I831,1,1)&amp;MID(I831,2,3)+1),CELL("address",AA831))</f>
        <v>$AA$831</v>
      </c>
      <c r="K831" s="97" t="str">
        <f ca="1">IF(J830&gt;=5,(MID(J831,1,1)&amp;MID(J831,2,3)+1),CELL("address",AB831))</f>
        <v>$AB$831</v>
      </c>
      <c r="L831" s="97" t="str">
        <f ca="1">IF(J830&gt;=6,(MID(K831,1,1)&amp;MID(K831,2,3)+1),CELL("address",AC831))</f>
        <v>$AC$831</v>
      </c>
      <c r="M831" s="97" t="str">
        <f ca="1">IF(J830&gt;=7,(MID(L831,1,1)&amp;MID(L831,2,3)+1),CELL("address",AD831))</f>
        <v>$AD$831</v>
      </c>
      <c r="N831" s="97" t="str">
        <f ca="1">IF(J830&gt;=8,(MID(M831,1,1)&amp;MID(M831,2,3)+1),CELL("address",AE831))</f>
        <v>$AE$831</v>
      </c>
      <c r="O831" s="97" t="str">
        <f ca="1">IF(J830&gt;=9,(MID(N831,1,1)&amp;MID(N831,2,3)+1),CELL("address",AF831))</f>
        <v>$AF$831</v>
      </c>
      <c r="P831" s="97" t="str">
        <f ca="1">IF(J830&gt;=10,(MID(O831,1,1)&amp;MID(O831,2,3)+1),CELL("address",AG831))</f>
        <v>$AG$831</v>
      </c>
      <c r="Q831" s="97" t="str">
        <f ca="1">IF(J830&gt;=11,(MID(P831,1,1)&amp;MID(P831,2,3)+1),CELL("address",AH831))</f>
        <v>$AH$831</v>
      </c>
      <c r="R831" s="97" t="str">
        <f ca="1">IF(J830&gt;=12,(MID(Q831,1,1)&amp;MID(Q831,2,3)+1),CELL("address",AI831))</f>
        <v>$AI$831</v>
      </c>
    </row>
    <row r="832" spans="1:8" ht="15" customHeight="1">
      <c r="A832" s="38"/>
      <c r="B832" s="41"/>
      <c r="C832" s="250"/>
      <c r="D832" s="39"/>
      <c r="E832" s="159"/>
      <c r="F832" s="192"/>
      <c r="H832" s="1"/>
    </row>
    <row r="833" spans="1:15" ht="15" customHeight="1">
      <c r="A833" s="52"/>
      <c r="B833" s="53"/>
      <c r="C833" s="53"/>
      <c r="D833" s="54"/>
      <c r="E833" s="160">
        <f>SUM(E835:E836)</f>
        <v>186.886</v>
      </c>
      <c r="F833" s="192"/>
      <c r="G833" s="97"/>
      <c r="H833" s="97"/>
      <c r="I833" s="97"/>
      <c r="J833" s="97"/>
      <c r="K833" s="97"/>
      <c r="L833" s="97"/>
      <c r="M833" s="97"/>
      <c r="N833" s="97"/>
      <c r="O833" s="97"/>
    </row>
    <row r="834" spans="1:18" ht="15" customHeight="1">
      <c r="A834" s="299" t="s">
        <v>5</v>
      </c>
      <c r="B834" s="299"/>
      <c r="C834" s="39" t="s">
        <v>17</v>
      </c>
      <c r="D834" s="207" t="s">
        <v>18</v>
      </c>
      <c r="E834" s="38" t="s">
        <v>7</v>
      </c>
      <c r="F834" s="192"/>
      <c r="G834" s="92" t="str">
        <f>CONCATENATE("Misc. Iron Scrap, Lying at ",C835,". Quantity in MT - ")</f>
        <v>Misc. Iron Scrap, Lying at S &amp; T Store Bathinda. Quantity in MT - </v>
      </c>
      <c r="H834" s="297" t="str">
        <f ca="1">CONCATENATE(G834,G835,(INDIRECT(I835)),(INDIRECT(J835)),(INDIRECT(K835)),(INDIRECT(L835)),(INDIRECT(M835)),(INDIRECT(N835)),(INDIRECT(O835)),(INDIRECT(P835)),(INDIRECT(Q835)),(INDIRECT(R835)),".")</f>
        <v>Misc. Iron Scrap, Lying at S &amp; T Store Bathinda. Quantity in MT - MS Rail scrap - 181.996, Earthwire GSL scrap - 4.89, .</v>
      </c>
      <c r="I834" s="97" t="str">
        <f aca="true" ca="1" t="array" ref="I834">CELL("address",INDEX(G834:G854,MATCH(TRUE,ISBLANK(G834:G854),0)))</f>
        <v>$G$837</v>
      </c>
      <c r="J834" s="97">
        <f aca="true" t="array" ref="J834">MATCH(TRUE,ISBLANK(G834:G854),0)</f>
        <v>4</v>
      </c>
      <c r="K834" s="97">
        <f>J834-3</f>
        <v>1</v>
      </c>
      <c r="L834" s="97"/>
      <c r="M834" s="97"/>
      <c r="N834" s="97"/>
      <c r="O834" s="97"/>
      <c r="P834" s="97"/>
      <c r="Q834" s="97"/>
      <c r="R834" s="97"/>
    </row>
    <row r="835" spans="1:18" ht="15" customHeight="1">
      <c r="A835" s="299" t="s">
        <v>51</v>
      </c>
      <c r="B835" s="299"/>
      <c r="C835" s="300" t="s">
        <v>57</v>
      </c>
      <c r="D835" s="41" t="s">
        <v>61</v>
      </c>
      <c r="E835" s="68">
        <v>181.996</v>
      </c>
      <c r="F835" s="97"/>
      <c r="G835" s="91" t="str">
        <f>CONCATENATE(D835," - ",E835,", ")</f>
        <v>MS Rail scrap - 181.996, </v>
      </c>
      <c r="H835" s="297"/>
      <c r="I835" s="97" t="str">
        <f ca="1">IF(J834&gt;=3,(MID(I834,2,1)&amp;MID(I834,4,3)-K834),CELL("address",Z835))</f>
        <v>G836</v>
      </c>
      <c r="J835" s="97" t="str">
        <f ca="1">IF(J834&gt;=4,(MID(I835,1,1)&amp;MID(I835,2,3)+1),CELL("address",AA835))</f>
        <v>G837</v>
      </c>
      <c r="K835" s="97" t="str">
        <f ca="1">IF(J834&gt;=5,(MID(J835,1,1)&amp;MID(J835,2,3)+1),CELL("address",AB835))</f>
        <v>$AB$835</v>
      </c>
      <c r="L835" s="97" t="str">
        <f ca="1">IF(J834&gt;=6,(MID(K835,1,1)&amp;MID(K835,2,3)+1),CELL("address",AC835))</f>
        <v>$AC$835</v>
      </c>
      <c r="M835" s="97" t="str">
        <f ca="1">IF(J834&gt;=7,(MID(L835,1,1)&amp;MID(L835,2,3)+1),CELL("address",AD835))</f>
        <v>$AD$835</v>
      </c>
      <c r="N835" s="97" t="str">
        <f ca="1">IF(J834&gt;=8,(MID(M835,1,1)&amp;MID(M835,2,3)+1),CELL("address",AE835))</f>
        <v>$AE$835</v>
      </c>
      <c r="O835" s="97" t="str">
        <f ca="1">IF(J834&gt;=9,(MID(N835,1,1)&amp;MID(N835,2,3)+1),CELL("address",AF835))</f>
        <v>$AF$835</v>
      </c>
      <c r="P835" s="97" t="str">
        <f ca="1">IF(J834&gt;=10,(MID(O835,1,1)&amp;MID(O835,2,3)+1),CELL("address",AG835))</f>
        <v>$AG$835</v>
      </c>
      <c r="Q835" s="97" t="str">
        <f ca="1">IF(J834&gt;=11,(MID(P835,1,1)&amp;MID(P835,2,3)+1),CELL("address",AH835))</f>
        <v>$AH$835</v>
      </c>
      <c r="R835" s="97" t="str">
        <f ca="1">IF(J834&gt;=12,(MID(Q835,1,1)&amp;MID(Q835,2,3)+1),CELL("address",AI835))</f>
        <v>$AI$835</v>
      </c>
    </row>
    <row r="836" spans="1:15" ht="15" customHeight="1">
      <c r="A836" s="299"/>
      <c r="B836" s="299"/>
      <c r="C836" s="300"/>
      <c r="D836" s="41" t="s">
        <v>142</v>
      </c>
      <c r="E836" s="68">
        <v>4.89</v>
      </c>
      <c r="F836" s="119"/>
      <c r="G836" s="91" t="str">
        <f>CONCATENATE(D836," - ",E836,", ")</f>
        <v>Earthwire GSL scrap - 4.89, </v>
      </c>
      <c r="H836" s="97"/>
      <c r="I836" s="97"/>
      <c r="J836" s="97"/>
      <c r="K836" s="97"/>
      <c r="L836" s="97"/>
      <c r="M836" s="97"/>
      <c r="N836" s="97"/>
      <c r="O836" s="97"/>
    </row>
    <row r="837" spans="1:8" ht="15" customHeight="1">
      <c r="A837" s="38"/>
      <c r="B837" s="40"/>
      <c r="C837" s="47"/>
      <c r="D837" s="40"/>
      <c r="E837" s="57"/>
      <c r="F837" s="193"/>
      <c r="H837" s="1"/>
    </row>
    <row r="838" spans="1:8" ht="15" customHeight="1">
      <c r="A838" s="52"/>
      <c r="B838" s="53"/>
      <c r="C838" s="53"/>
      <c r="D838" s="55"/>
      <c r="E838" s="56">
        <f>SUM(E840:E843)</f>
        <v>3.585</v>
      </c>
      <c r="F838" s="97"/>
      <c r="H838" s="1"/>
    </row>
    <row r="839" spans="1:18" ht="15" customHeight="1">
      <c r="A839" s="299" t="s">
        <v>5</v>
      </c>
      <c r="B839" s="299"/>
      <c r="C839" s="39" t="s">
        <v>17</v>
      </c>
      <c r="D839" s="207" t="s">
        <v>18</v>
      </c>
      <c r="E839" s="38" t="s">
        <v>7</v>
      </c>
      <c r="F839" s="97"/>
      <c r="G839" s="92" t="str">
        <f>CONCATENATE("Misc. Iron Scrap, Lying at ",C840,". Quantity in MT - ")</f>
        <v>Misc. Iron Scrap, Lying at CS Ferozepur. Quantity in MT - </v>
      </c>
      <c r="H839" s="297" t="str">
        <f ca="1">CONCATENATE(G839,G840,(INDIRECT(I840)),(INDIRECT(J840)),(INDIRECT(K840)),(INDIRECT(L840)),(INDIRECT(M840)),(INDIRECT(N840)),(INDIRECT(O840)),(INDIRECT(P840)),(INDIRECT(Q840)),(INDIRECT(R840)),".")</f>
        <v>Misc. Iron Scrap, Lying at CS Ferozepur. Quantity in MT - MS iron scrap - 2.979, Teen Patra scrap - 0.465, G.I. Scrap - 0.046, GSS wire scrap - 0.095, .</v>
      </c>
      <c r="I839" s="97" t="str">
        <f aca="true" ca="1" t="array" ref="I839">CELL("address",INDEX(G839:G859,MATCH(TRUE,ISBLANK(G839:G859),0)))</f>
        <v>$G$844</v>
      </c>
      <c r="J839" s="97">
        <f aca="true" t="array" ref="J839">MATCH(TRUE,ISBLANK(G839:G859),0)</f>
        <v>6</v>
      </c>
      <c r="K839" s="97">
        <f>J839-3</f>
        <v>3</v>
      </c>
      <c r="L839" s="97"/>
      <c r="M839" s="97"/>
      <c r="N839" s="97"/>
      <c r="O839" s="97"/>
      <c r="P839" s="97"/>
      <c r="Q839" s="97"/>
      <c r="R839" s="97"/>
    </row>
    <row r="840" spans="1:18" ht="15" customHeight="1">
      <c r="A840" s="299" t="s">
        <v>65</v>
      </c>
      <c r="B840" s="299"/>
      <c r="C840" s="300" t="s">
        <v>99</v>
      </c>
      <c r="D840" s="41" t="s">
        <v>29</v>
      </c>
      <c r="E840" s="57">
        <v>2.979</v>
      </c>
      <c r="F840" s="97"/>
      <c r="G840" s="91" t="str">
        <f>CONCATENATE(D840," - ",E840,", ")</f>
        <v>MS iron scrap - 2.979, </v>
      </c>
      <c r="H840" s="297"/>
      <c r="I840" s="97" t="str">
        <f ca="1">IF(J839&gt;=3,(MID(I839,2,1)&amp;MID(I839,4,3)-K839),CELL("address",Z840))</f>
        <v>G841</v>
      </c>
      <c r="J840" s="97" t="str">
        <f ca="1">IF(J839&gt;=4,(MID(I840,1,1)&amp;MID(I840,2,3)+1),CELL("address",AA840))</f>
        <v>G842</v>
      </c>
      <c r="K840" s="97" t="str">
        <f ca="1">IF(J839&gt;=5,(MID(J840,1,1)&amp;MID(J840,2,3)+1),CELL("address",AB840))</f>
        <v>G843</v>
      </c>
      <c r="L840" s="97" t="str">
        <f ca="1">IF(J839&gt;=6,(MID(K840,1,1)&amp;MID(K840,2,3)+1),CELL("address",AC840))</f>
        <v>G844</v>
      </c>
      <c r="M840" s="97" t="str">
        <f ca="1">IF(J839&gt;=7,(MID(L840,1,1)&amp;MID(L840,2,3)+1),CELL("address",AD840))</f>
        <v>$AD$840</v>
      </c>
      <c r="N840" s="97" t="str">
        <f ca="1">IF(J839&gt;=8,(MID(M840,1,1)&amp;MID(M840,2,3)+1),CELL("address",AE840))</f>
        <v>$AE$840</v>
      </c>
      <c r="O840" s="97" t="str">
        <f ca="1">IF(J839&gt;=9,(MID(N840,1,1)&amp;MID(N840,2,3)+1),CELL("address",AF840))</f>
        <v>$AF$840</v>
      </c>
      <c r="P840" s="97" t="str">
        <f ca="1">IF(J839&gt;=10,(MID(O840,1,1)&amp;MID(O840,2,3)+1),CELL("address",AG840))</f>
        <v>$AG$840</v>
      </c>
      <c r="Q840" s="97" t="str">
        <f ca="1">IF(J839&gt;=11,(MID(P840,1,1)&amp;MID(P840,2,3)+1),CELL("address",AH840))</f>
        <v>$AH$840</v>
      </c>
      <c r="R840" s="97" t="str">
        <f ca="1">IF(J839&gt;=12,(MID(Q840,1,1)&amp;MID(Q840,2,3)+1),CELL("address",AI840))</f>
        <v>$AI$840</v>
      </c>
    </row>
    <row r="841" spans="1:21" ht="15" customHeight="1">
      <c r="A841" s="299"/>
      <c r="B841" s="299"/>
      <c r="C841" s="300"/>
      <c r="D841" s="80" t="s">
        <v>64</v>
      </c>
      <c r="E841" s="57">
        <v>0.465</v>
      </c>
      <c r="G841" s="91" t="str">
        <f>CONCATENATE(D841," - ",E841,", ")</f>
        <v>Teen Patra scrap - 0.465, </v>
      </c>
      <c r="H841" s="97"/>
      <c r="I841" s="97"/>
      <c r="J841" s="97"/>
      <c r="K841" s="97"/>
      <c r="L841" s="97"/>
      <c r="M841" s="97"/>
      <c r="N841" s="97"/>
      <c r="O841" s="97"/>
      <c r="Q841" s="335"/>
      <c r="R841" s="335"/>
      <c r="S841" s="335"/>
      <c r="T841" s="335"/>
      <c r="U841" s="335"/>
    </row>
    <row r="842" spans="1:21" ht="15" customHeight="1">
      <c r="A842" s="299"/>
      <c r="B842" s="299"/>
      <c r="C842" s="300"/>
      <c r="D842" s="80" t="s">
        <v>197</v>
      </c>
      <c r="E842" s="57">
        <v>0.046</v>
      </c>
      <c r="G842" s="91" t="str">
        <f>CONCATENATE(D842," - ",E842,", ")</f>
        <v>G.I. Scrap - 0.046, </v>
      </c>
      <c r="H842" s="1"/>
      <c r="Q842" s="336"/>
      <c r="R842" s="336"/>
      <c r="S842" s="336"/>
      <c r="T842" s="336"/>
      <c r="U842" s="336"/>
    </row>
    <row r="843" spans="1:21" ht="15" customHeight="1">
      <c r="A843" s="299"/>
      <c r="B843" s="299"/>
      <c r="C843" s="300"/>
      <c r="D843" s="37" t="s">
        <v>712</v>
      </c>
      <c r="E843" s="175">
        <v>0.095</v>
      </c>
      <c r="G843" s="91" t="str">
        <f>CONCATENATE(D843," - ",E843,", ")</f>
        <v>GSS wire scrap - 0.095, </v>
      </c>
      <c r="H843" s="1"/>
      <c r="Q843" s="291"/>
      <c r="R843" s="291"/>
      <c r="S843" s="291"/>
      <c r="T843" s="291"/>
      <c r="U843" s="291"/>
    </row>
    <row r="844" spans="1:15" ht="15" customHeight="1">
      <c r="A844" s="38"/>
      <c r="B844" s="40"/>
      <c r="C844" s="47"/>
      <c r="D844" s="37"/>
      <c r="E844" s="175"/>
      <c r="F844" s="192"/>
      <c r="G844" s="97"/>
      <c r="H844" s="97"/>
      <c r="I844" s="97"/>
      <c r="J844" s="97"/>
      <c r="K844" s="97"/>
      <c r="L844" s="97"/>
      <c r="M844" s="97"/>
      <c r="N844" s="97"/>
      <c r="O844" s="97"/>
    </row>
    <row r="845" spans="1:18" ht="15" customHeight="1">
      <c r="A845" s="310"/>
      <c r="B845" s="311"/>
      <c r="C845" s="39"/>
      <c r="D845" s="55"/>
      <c r="E845" s="56">
        <f>SUM(E847:E850)</f>
        <v>3.316</v>
      </c>
      <c r="F845" s="97"/>
      <c r="G845" s="198"/>
      <c r="H845" s="198"/>
      <c r="I845" s="97"/>
      <c r="J845" s="97"/>
      <c r="K845" s="97"/>
      <c r="L845" s="97"/>
      <c r="M845" s="97"/>
      <c r="N845" s="97"/>
      <c r="O845" s="97"/>
      <c r="P845" s="97"/>
      <c r="Q845" s="97"/>
      <c r="R845" s="97"/>
    </row>
    <row r="846" spans="1:18" ht="15" customHeight="1">
      <c r="A846" s="299" t="s">
        <v>5</v>
      </c>
      <c r="B846" s="299"/>
      <c r="C846" s="39" t="s">
        <v>17</v>
      </c>
      <c r="D846" s="207" t="s">
        <v>18</v>
      </c>
      <c r="E846" s="38" t="s">
        <v>7</v>
      </c>
      <c r="G846" s="92" t="str">
        <f>CONCATENATE("Misc. Iron Scrap, Lying at ",C847,". Quantity in MT - ")</f>
        <v>Misc. Iron Scrap, Lying at OL Fazilka. Quantity in MT - </v>
      </c>
      <c r="H846" s="297" t="str">
        <f ca="1">CONCATENATE(G846,G847,(INDIRECT(I847)),(INDIRECT(J847)),(INDIRECT(K847)),(INDIRECT(L847)),(INDIRECT(M847)),(INDIRECT(N847)),(INDIRECT(O847)),(INDIRECT(P847)),(INDIRECT(Q847)),(INDIRECT(R847)),".")</f>
        <v>Misc. Iron Scrap, Lying at OL Fazilka. Quantity in MT - MS iron scrap - 2.791, Teen Patra scrap - 0.17, MS Rail scrap - 0.35, M.S. Nuts &amp; Bolts Scrap - 0.005, .</v>
      </c>
      <c r="I846" s="97" t="str">
        <f aca="true" ca="1" t="array" ref="I846">CELL("address",INDEX(G846:G866,MATCH(TRUE,ISBLANK(G846:G866),0)))</f>
        <v>$G$851</v>
      </c>
      <c r="J846" s="97">
        <f aca="true" t="array" ref="J846">MATCH(TRUE,ISBLANK(G846:G866),0)</f>
        <v>6</v>
      </c>
      <c r="K846" s="97">
        <f>J846-3</f>
        <v>3</v>
      </c>
      <c r="L846" s="97"/>
      <c r="M846" s="97"/>
      <c r="N846" s="97"/>
      <c r="O846" s="97"/>
      <c r="P846" s="97"/>
      <c r="Q846" s="97"/>
      <c r="R846" s="97"/>
    </row>
    <row r="847" spans="1:18" ht="15" customHeight="1">
      <c r="A847" s="326" t="s">
        <v>66</v>
      </c>
      <c r="B847" s="327"/>
      <c r="C847" s="307" t="s">
        <v>112</v>
      </c>
      <c r="D847" s="41" t="s">
        <v>29</v>
      </c>
      <c r="E847" s="57">
        <v>2.791</v>
      </c>
      <c r="G847" s="91" t="str">
        <f>CONCATENATE(D847," - ",E847,", ")</f>
        <v>MS iron scrap - 2.791, </v>
      </c>
      <c r="H847" s="297"/>
      <c r="I847" s="97" t="str">
        <f ca="1">IF(J846&gt;=3,(MID(I846,2,1)&amp;MID(I846,4,3)-K846),CELL("address",Z847))</f>
        <v>G848</v>
      </c>
      <c r="J847" s="97" t="str">
        <f ca="1">IF(J846&gt;=4,(MID(I847,1,1)&amp;MID(I847,2,3)+1),CELL("address",AA847))</f>
        <v>G849</v>
      </c>
      <c r="K847" s="97" t="str">
        <f ca="1">IF(J846&gt;=5,(MID(J847,1,1)&amp;MID(J847,2,3)+1),CELL("address",AB847))</f>
        <v>G850</v>
      </c>
      <c r="L847" s="97" t="str">
        <f ca="1">IF(J846&gt;=6,(MID(K847,1,1)&amp;MID(K847,2,3)+1),CELL("address",AC847))</f>
        <v>G851</v>
      </c>
      <c r="M847" s="97" t="str">
        <f ca="1">IF(J846&gt;=7,(MID(L847,1,1)&amp;MID(L847,2,3)+1),CELL("address",AD847))</f>
        <v>$AD$847</v>
      </c>
      <c r="N847" s="97" t="str">
        <f ca="1">IF(J846&gt;=8,(MID(M847,1,1)&amp;MID(M847,2,3)+1),CELL("address",AE847))</f>
        <v>$AE$847</v>
      </c>
      <c r="O847" s="97" t="str">
        <f ca="1">IF(J846&gt;=9,(MID(N847,1,1)&amp;MID(N847,2,3)+1),CELL("address",AF847))</f>
        <v>$AF$847</v>
      </c>
      <c r="P847" s="97" t="str">
        <f ca="1">IF(J846&gt;=10,(MID(O847,1,1)&amp;MID(O847,2,3)+1),CELL("address",AG847))</f>
        <v>$AG$847</v>
      </c>
      <c r="Q847" s="97" t="str">
        <f ca="1">IF(J846&gt;=11,(MID(P847,1,1)&amp;MID(P847,2,3)+1),CELL("address",AH847))</f>
        <v>$AH$847</v>
      </c>
      <c r="R847" s="97" t="str">
        <f ca="1">IF(J846&gt;=12,(MID(Q847,1,1)&amp;MID(Q847,2,3)+1),CELL("address",AI847))</f>
        <v>$AI$847</v>
      </c>
    </row>
    <row r="848" spans="1:8" ht="15" customHeight="1">
      <c r="A848" s="328"/>
      <c r="B848" s="329"/>
      <c r="C848" s="308"/>
      <c r="D848" s="80" t="s">
        <v>64</v>
      </c>
      <c r="E848" s="57">
        <v>0.17</v>
      </c>
      <c r="G848" s="91" t="str">
        <f>CONCATENATE(D848," - ",E848,", ")</f>
        <v>Teen Patra scrap - 0.17, </v>
      </c>
      <c r="H848" s="198"/>
    </row>
    <row r="849" spans="1:8" ht="15" customHeight="1">
      <c r="A849" s="328"/>
      <c r="B849" s="329"/>
      <c r="C849" s="308"/>
      <c r="D849" s="39" t="s">
        <v>61</v>
      </c>
      <c r="E849" s="57">
        <v>0.35</v>
      </c>
      <c r="G849" s="91" t="str">
        <f>CONCATENATE(D849," - ",E849,", ")</f>
        <v>MS Rail scrap - 0.35, </v>
      </c>
      <c r="H849" s="198"/>
    </row>
    <row r="850" spans="1:15" ht="15" customHeight="1">
      <c r="A850" s="330"/>
      <c r="B850" s="331"/>
      <c r="C850" s="309"/>
      <c r="D850" s="80" t="s">
        <v>198</v>
      </c>
      <c r="E850" s="57">
        <v>0.005</v>
      </c>
      <c r="F850" s="97"/>
      <c r="G850" s="91" t="str">
        <f>CONCATENATE(D850," - ",E850,", ")</f>
        <v>M.S. Nuts &amp; Bolts Scrap - 0.005, </v>
      </c>
      <c r="H850" s="198"/>
      <c r="I850" s="97"/>
      <c r="J850" s="97"/>
      <c r="K850" s="97"/>
      <c r="L850" s="97"/>
      <c r="M850" s="97"/>
      <c r="N850" s="97"/>
      <c r="O850" s="97"/>
    </row>
    <row r="851" spans="1:15" ht="15" customHeight="1">
      <c r="A851" s="301"/>
      <c r="B851" s="306"/>
      <c r="C851" s="250"/>
      <c r="D851" s="39"/>
      <c r="E851" s="57"/>
      <c r="F851" s="97"/>
      <c r="G851" s="198"/>
      <c r="H851" s="198"/>
      <c r="I851" s="97"/>
      <c r="J851" s="97"/>
      <c r="K851" s="97"/>
      <c r="L851" s="97"/>
      <c r="M851" s="97"/>
      <c r="N851" s="97"/>
      <c r="O851" s="97"/>
    </row>
    <row r="852" spans="1:18" ht="15" customHeight="1">
      <c r="A852" s="310"/>
      <c r="B852" s="311"/>
      <c r="C852" s="39"/>
      <c r="D852" s="55"/>
      <c r="E852" s="160">
        <f>SUM(E854:E854)</f>
        <v>100</v>
      </c>
      <c r="G852" s="198"/>
      <c r="H852" s="198"/>
      <c r="I852" s="97"/>
      <c r="J852" s="97"/>
      <c r="K852" s="97"/>
      <c r="L852" s="97"/>
      <c r="M852" s="97"/>
      <c r="N852" s="97"/>
      <c r="O852" s="97"/>
      <c r="P852" s="97"/>
      <c r="Q852" s="97"/>
      <c r="R852" s="97"/>
    </row>
    <row r="853" spans="1:18" ht="15" customHeight="1">
      <c r="A853" s="299" t="s">
        <v>5</v>
      </c>
      <c r="B853" s="299"/>
      <c r="C853" s="39" t="s">
        <v>17</v>
      </c>
      <c r="D853" s="207" t="s">
        <v>18</v>
      </c>
      <c r="E853" s="38" t="s">
        <v>7</v>
      </c>
      <c r="G853" s="92" t="str">
        <f>CONCATENATE("Misc. Iron Scrap, Lying at ",C854,". Quantity in MT - ")</f>
        <v>Misc. Iron Scrap, Lying at S &amp; T Store Bathinda. Quantity in MT - </v>
      </c>
      <c r="H853" s="297" t="str">
        <f ca="1">CONCATENATE(G853,G854,(INDIRECT(I854)),(INDIRECT(J854)),(INDIRECT(K854)),(INDIRECT(L854)),(INDIRECT(M854)),(INDIRECT(N854)),(INDIRECT(O854)),(INDIRECT(P854)),(INDIRECT(Q854)),(INDIRECT(R854)),".")</f>
        <v>Misc. Iron Scrap, Lying at S &amp; T Store Bathinda. Quantity in MT - MS Rail scrap - 100, .</v>
      </c>
      <c r="I853" s="97" t="str">
        <f aca="true" ca="1" t="array" ref="I853">CELL("address",INDEX(G853:G873,MATCH(TRUE,ISBLANK(G853:G873),0)))</f>
        <v>$G$855</v>
      </c>
      <c r="J853" s="97">
        <f aca="true" t="array" ref="J853">MATCH(TRUE,ISBLANK(G853:G873),0)</f>
        <v>3</v>
      </c>
      <c r="K853" s="97">
        <f>J853-3</f>
        <v>0</v>
      </c>
      <c r="L853" s="97"/>
      <c r="M853" s="97"/>
      <c r="N853" s="97"/>
      <c r="O853" s="97"/>
      <c r="P853" s="97"/>
      <c r="Q853" s="97"/>
      <c r="R853" s="97"/>
    </row>
    <row r="854" spans="1:18" ht="15" customHeight="1">
      <c r="A854" s="299" t="s">
        <v>67</v>
      </c>
      <c r="B854" s="299"/>
      <c r="C854" s="250" t="s">
        <v>57</v>
      </c>
      <c r="D854" s="39" t="s">
        <v>61</v>
      </c>
      <c r="E854" s="68">
        <v>100</v>
      </c>
      <c r="F854" s="119"/>
      <c r="G854" s="91" t="str">
        <f>CONCATENATE(D854," - ",E854,", ")</f>
        <v>MS Rail scrap - 100, </v>
      </c>
      <c r="H854" s="297"/>
      <c r="I854" s="97" t="str">
        <f ca="1">IF(J853&gt;=3,(MID(I853,2,1)&amp;MID(I853,4,3)-K853),CELL("address",Z854))</f>
        <v>G855</v>
      </c>
      <c r="J854" s="97" t="str">
        <f ca="1">IF(J853&gt;=4,(MID(I854,1,1)&amp;MID(I854,2,3)+1),CELL("address",AA854))</f>
        <v>$AA$854</v>
      </c>
      <c r="K854" s="97" t="str">
        <f ca="1">IF(J853&gt;=5,(MID(J854,1,1)&amp;MID(J854,2,3)+1),CELL("address",AB854))</f>
        <v>$AB$854</v>
      </c>
      <c r="L854" s="97" t="str">
        <f ca="1">IF(J853&gt;=6,(MID(K854,1,1)&amp;MID(K854,2,3)+1),CELL("address",AC854))</f>
        <v>$AC$854</v>
      </c>
      <c r="M854" s="97" t="str">
        <f ca="1">IF(J853&gt;=7,(MID(L854,1,1)&amp;MID(L854,2,3)+1),CELL("address",AD854))</f>
        <v>$AD$854</v>
      </c>
      <c r="N854" s="97" t="str">
        <f ca="1">IF(J853&gt;=8,(MID(M854,1,1)&amp;MID(M854,2,3)+1),CELL("address",AE854))</f>
        <v>$AE$854</v>
      </c>
      <c r="O854" s="97" t="str">
        <f ca="1">IF(J853&gt;=9,(MID(N854,1,1)&amp;MID(N854,2,3)+1),CELL("address",AF854))</f>
        <v>$AF$854</v>
      </c>
      <c r="P854" s="97" t="str">
        <f ca="1">IF(J853&gt;=10,(MID(O854,1,1)&amp;MID(O854,2,3)+1),CELL("address",AG854))</f>
        <v>$AG$854</v>
      </c>
      <c r="Q854" s="97" t="str">
        <f ca="1">IF(J853&gt;=11,(MID(P854,1,1)&amp;MID(P854,2,3)+1),CELL("address",AH854))</f>
        <v>$AH$854</v>
      </c>
      <c r="R854" s="97" t="str">
        <f ca="1">IF(J853&gt;=12,(MID(Q854,1,1)&amp;MID(Q854,2,3)+1),CELL("address",AI854))</f>
        <v>$AI$854</v>
      </c>
    </row>
    <row r="855" spans="1:8" ht="15" customHeight="1">
      <c r="A855" s="38"/>
      <c r="B855" s="40"/>
      <c r="C855" s="47"/>
      <c r="D855" s="40"/>
      <c r="E855" s="57"/>
      <c r="G855" s="198"/>
      <c r="H855" s="198"/>
    </row>
    <row r="856" spans="1:18" ht="15" customHeight="1">
      <c r="A856" s="52"/>
      <c r="B856" s="53"/>
      <c r="C856" s="53"/>
      <c r="D856" s="55"/>
      <c r="E856" s="56">
        <f>SUM(E858:E864)</f>
        <v>18.278</v>
      </c>
      <c r="G856" s="198"/>
      <c r="H856" s="198"/>
      <c r="I856" s="97"/>
      <c r="J856" s="97"/>
      <c r="K856" s="97"/>
      <c r="L856" s="97"/>
      <c r="M856" s="97"/>
      <c r="N856" s="97"/>
      <c r="O856" s="97"/>
      <c r="P856" s="97"/>
      <c r="Q856" s="97"/>
      <c r="R856" s="97"/>
    </row>
    <row r="857" spans="1:18" ht="15" customHeight="1">
      <c r="A857" s="299" t="s">
        <v>5</v>
      </c>
      <c r="B857" s="299"/>
      <c r="C857" s="39" t="s">
        <v>17</v>
      </c>
      <c r="D857" s="207" t="s">
        <v>18</v>
      </c>
      <c r="E857" s="38" t="s">
        <v>7</v>
      </c>
      <c r="G857" s="92" t="str">
        <f>CONCATENATE("Misc. Iron Scrap, Lying at ",C858,". Quantity in MT - ")</f>
        <v>Misc. Iron Scrap, Lying at CS Kotkapura. Quantity in MT - </v>
      </c>
      <c r="H857" s="297" t="str">
        <f ca="1">CONCATENATE(G857,G858,(INDIRECT(I858)),(INDIRECT(J858)),(INDIRECT(K858)),(INDIRECT(L858)),(INDIRECT(M858)),(INDIRECT(N858)),(INDIRECT(O858)),(INDIRECT(P858)),(INDIRECT(Q858)),(INDIRECT(R858)),".")</f>
        <v>Misc. Iron Scrap, Lying at CS Kotkapura. Quantity in MT - MS iron scrap - 5.62, Transformer body scrap - 5.854, Teen Patra scrap - 2.277, G.I. Scrap - 0.113, M.S. Nuts &amp; Bolts Scrap - 0.024, Tubular Poles scrap - 0.325, MS Rail scrap - 4.065, .</v>
      </c>
      <c r="I857" s="97" t="str">
        <f aca="true" ca="1" t="array" ref="I857">CELL("address",INDEX(G857:G877,MATCH(TRUE,ISBLANK(G857:G877),0)))</f>
        <v>$G$865</v>
      </c>
      <c r="J857" s="97">
        <f aca="true" t="array" ref="J857">MATCH(TRUE,ISBLANK(G857:G877),0)</f>
        <v>9</v>
      </c>
      <c r="K857" s="97">
        <f>J857-3</f>
        <v>6</v>
      </c>
      <c r="L857" s="97"/>
      <c r="M857" s="97"/>
      <c r="N857" s="97"/>
      <c r="O857" s="97"/>
      <c r="P857" s="97"/>
      <c r="Q857" s="97"/>
      <c r="R857" s="97"/>
    </row>
    <row r="858" spans="1:18" ht="15" customHeight="1">
      <c r="A858" s="299" t="s">
        <v>68</v>
      </c>
      <c r="B858" s="299"/>
      <c r="C858" s="300" t="s">
        <v>43</v>
      </c>
      <c r="D858" s="41" t="s">
        <v>29</v>
      </c>
      <c r="E858" s="57">
        <v>5.62</v>
      </c>
      <c r="G858" s="91" t="str">
        <f>CONCATENATE(D858," - ",E858,", ")</f>
        <v>MS iron scrap - 5.62, </v>
      </c>
      <c r="H858" s="297"/>
      <c r="I858" s="97" t="str">
        <f ca="1">IF(J857&gt;=3,(MID(I857,2,1)&amp;MID(I857,4,3)-K857),CELL("address",Z858))</f>
        <v>G859</v>
      </c>
      <c r="J858" s="97" t="str">
        <f ca="1">IF(J857&gt;=4,(MID(I858,1,1)&amp;MID(I858,2,3)+1),CELL("address",AA858))</f>
        <v>G860</v>
      </c>
      <c r="K858" s="97" t="str">
        <f ca="1">IF(J857&gt;=5,(MID(J858,1,1)&amp;MID(J858,2,3)+1),CELL("address",AB858))</f>
        <v>G861</v>
      </c>
      <c r="L858" s="97" t="str">
        <f ca="1">IF(J857&gt;=6,(MID(K858,1,1)&amp;MID(K858,2,3)+1),CELL("address",AC858))</f>
        <v>G862</v>
      </c>
      <c r="M858" s="97" t="str">
        <f ca="1">IF(J857&gt;=7,(MID(L858,1,1)&amp;MID(L858,2,3)+1),CELL("address",AD858))</f>
        <v>G863</v>
      </c>
      <c r="N858" s="97" t="str">
        <f ca="1">IF(J857&gt;=8,(MID(M858,1,1)&amp;MID(M858,2,3)+1),CELL("address",AE858))</f>
        <v>G864</v>
      </c>
      <c r="O858" s="97" t="str">
        <f ca="1">IF(J857&gt;=9,(MID(N858,1,1)&amp;MID(N858,2,3)+1),CELL("address",AF858))</f>
        <v>G865</v>
      </c>
      <c r="P858" s="97" t="str">
        <f ca="1">IF(J857&gt;=10,(MID(O858,1,1)&amp;MID(O858,2,3)+1),CELL("address",AG858))</f>
        <v>$AG$858</v>
      </c>
      <c r="Q858" s="97" t="str">
        <f ca="1">IF(J857&gt;=11,(MID(P858,1,1)&amp;MID(P858,2,3)+1),CELL("address",AH858))</f>
        <v>$AH$858</v>
      </c>
      <c r="R858" s="97" t="str">
        <f ca="1">IF(J857&gt;=12,(MID(Q858,1,1)&amp;MID(Q858,2,3)+1),CELL("address",AI858))</f>
        <v>$AI$858</v>
      </c>
    </row>
    <row r="859" spans="1:15" ht="15" customHeight="1">
      <c r="A859" s="299"/>
      <c r="B859" s="299"/>
      <c r="C859" s="300"/>
      <c r="D859" s="80" t="s">
        <v>60</v>
      </c>
      <c r="E859" s="57">
        <v>5.854</v>
      </c>
      <c r="F859" s="97"/>
      <c r="G859" s="91" t="str">
        <f aca="true" t="shared" si="4" ref="G859:G864">CONCATENATE(D859," - ",E859,", ")</f>
        <v>Transformer body scrap - 5.854, </v>
      </c>
      <c r="H859" s="198"/>
      <c r="I859" s="97"/>
      <c r="J859" s="97"/>
      <c r="K859" s="97"/>
      <c r="L859" s="97"/>
      <c r="M859" s="97"/>
      <c r="N859" s="97"/>
      <c r="O859" s="97"/>
    </row>
    <row r="860" spans="1:15" ht="15" customHeight="1">
      <c r="A860" s="299"/>
      <c r="B860" s="299"/>
      <c r="C860" s="300"/>
      <c r="D860" s="80" t="s">
        <v>64</v>
      </c>
      <c r="E860" s="57">
        <v>2.277</v>
      </c>
      <c r="F860" s="97"/>
      <c r="G860" s="91" t="str">
        <f t="shared" si="4"/>
        <v>Teen Patra scrap - 2.277, </v>
      </c>
      <c r="H860" s="198"/>
      <c r="I860" s="97"/>
      <c r="J860" s="97"/>
      <c r="K860" s="97"/>
      <c r="L860" s="97"/>
      <c r="M860" s="97"/>
      <c r="N860" s="97"/>
      <c r="O860" s="97"/>
    </row>
    <row r="861" spans="1:8" ht="15" customHeight="1">
      <c r="A861" s="299"/>
      <c r="B861" s="299"/>
      <c r="C861" s="300"/>
      <c r="D861" s="80" t="s">
        <v>197</v>
      </c>
      <c r="E861" s="57">
        <v>0.113</v>
      </c>
      <c r="G861" s="91" t="str">
        <f t="shared" si="4"/>
        <v>G.I. Scrap - 0.113, </v>
      </c>
      <c r="H861" s="198"/>
    </row>
    <row r="862" spans="1:8" ht="15" customHeight="1">
      <c r="A862" s="299"/>
      <c r="B862" s="299"/>
      <c r="C862" s="300"/>
      <c r="D862" s="80" t="s">
        <v>198</v>
      </c>
      <c r="E862" s="57">
        <v>0.024</v>
      </c>
      <c r="G862" s="91" t="str">
        <f t="shared" si="4"/>
        <v>M.S. Nuts &amp; Bolts Scrap - 0.024, </v>
      </c>
      <c r="H862" s="198"/>
    </row>
    <row r="863" spans="1:8" ht="15" customHeight="1">
      <c r="A863" s="299"/>
      <c r="B863" s="299"/>
      <c r="C863" s="300"/>
      <c r="D863" s="41" t="s">
        <v>362</v>
      </c>
      <c r="E863" s="57">
        <v>0.325</v>
      </c>
      <c r="G863" s="91" t="str">
        <f t="shared" si="4"/>
        <v>Tubular Poles scrap - 0.325, </v>
      </c>
      <c r="H863" s="198"/>
    </row>
    <row r="864" spans="1:8" ht="15" customHeight="1">
      <c r="A864" s="299"/>
      <c r="B864" s="299"/>
      <c r="C864" s="300"/>
      <c r="D864" s="39" t="s">
        <v>61</v>
      </c>
      <c r="E864" s="57">
        <v>4.065</v>
      </c>
      <c r="F864" s="119"/>
      <c r="G864" s="91" t="str">
        <f t="shared" si="4"/>
        <v>MS Rail scrap - 4.065, </v>
      </c>
      <c r="H864" s="198"/>
    </row>
    <row r="865" spans="1:15" ht="15" customHeight="1">
      <c r="A865" s="38"/>
      <c r="B865" s="40"/>
      <c r="C865" s="47"/>
      <c r="D865" s="215"/>
      <c r="E865" s="175"/>
      <c r="F865" s="97"/>
      <c r="G865" s="198"/>
      <c r="H865" s="198"/>
      <c r="I865" s="97"/>
      <c r="J865" s="97"/>
      <c r="K865" s="97"/>
      <c r="L865" s="97"/>
      <c r="M865" s="97"/>
      <c r="N865" s="97"/>
      <c r="O865" s="97"/>
    </row>
    <row r="866" spans="1:18" ht="15" customHeight="1">
      <c r="A866" s="52"/>
      <c r="B866" s="53"/>
      <c r="C866" s="53"/>
      <c r="D866" s="55"/>
      <c r="E866" s="56">
        <f>SUM(E868:E870)</f>
        <v>7.625</v>
      </c>
      <c r="F866" s="97"/>
      <c r="G866" s="198"/>
      <c r="H866" s="198"/>
      <c r="I866" s="97"/>
      <c r="J866" s="97"/>
      <c r="K866" s="97"/>
      <c r="L866" s="97"/>
      <c r="M866" s="97"/>
      <c r="N866" s="97"/>
      <c r="O866" s="97"/>
      <c r="P866" s="97"/>
      <c r="Q866" s="97"/>
      <c r="R866" s="97"/>
    </row>
    <row r="867" spans="1:18" ht="15" customHeight="1">
      <c r="A867" s="298" t="s">
        <v>5</v>
      </c>
      <c r="B867" s="298"/>
      <c r="C867" s="69" t="s">
        <v>17</v>
      </c>
      <c r="D867" s="207" t="s">
        <v>18</v>
      </c>
      <c r="E867" s="38" t="s">
        <v>7</v>
      </c>
      <c r="G867" s="92" t="str">
        <f>CONCATENATE("Misc. Iron Scrap, Lying at ",C868,". Quantity in MT - ")</f>
        <v>Misc. Iron Scrap, Lying at OL Bhagta Bhai Ka. Quantity in MT - </v>
      </c>
      <c r="H867" s="297" t="str">
        <f ca="1">CONCATENATE(G867,G868,(INDIRECT(I868)),(INDIRECT(J868)),(INDIRECT(K868)),(INDIRECT(L868)),(INDIRECT(M868)),(INDIRECT(N868)),(INDIRECT(O868)),(INDIRECT(P868)),(INDIRECT(Q868)),(INDIRECT(R868)),".")</f>
        <v>Misc. Iron Scrap, Lying at OL Bhagta Bhai Ka. Quantity in MT - MS iron scrap - 1.234, Transformer body scrap - 6.343, Teen Patra scrap - 0.048, .</v>
      </c>
      <c r="I867" s="97" t="str">
        <f aca="true" ca="1" t="array" ref="I867">CELL("address",INDEX(G867:G887,MATCH(TRUE,ISBLANK(G867:G887),0)))</f>
        <v>$G$871</v>
      </c>
      <c r="J867" s="97">
        <f aca="true" t="array" ref="J867">MATCH(TRUE,ISBLANK(G867:G887),0)</f>
        <v>5</v>
      </c>
      <c r="K867" s="97">
        <f>J867-3</f>
        <v>2</v>
      </c>
      <c r="L867" s="97"/>
      <c r="M867" s="97"/>
      <c r="N867" s="97"/>
      <c r="O867" s="97"/>
      <c r="P867" s="97"/>
      <c r="Q867" s="97"/>
      <c r="R867" s="97"/>
    </row>
    <row r="868" spans="1:18" ht="15" customHeight="1">
      <c r="A868" s="299" t="s">
        <v>175</v>
      </c>
      <c r="B868" s="299"/>
      <c r="C868" s="300" t="s">
        <v>100</v>
      </c>
      <c r="D868" s="41" t="s">
        <v>29</v>
      </c>
      <c r="E868" s="68">
        <v>1.234</v>
      </c>
      <c r="G868" s="91" t="str">
        <f>CONCATENATE(D868," - ",E868,", ")</f>
        <v>MS iron scrap - 1.234, </v>
      </c>
      <c r="H868" s="297"/>
      <c r="I868" s="97" t="str">
        <f ca="1">IF(J867&gt;=3,(MID(I867,2,1)&amp;MID(I867,4,3)-K867),CELL("address",Z868))</f>
        <v>G869</v>
      </c>
      <c r="J868" s="97" t="str">
        <f ca="1">IF(J867&gt;=4,(MID(I868,1,1)&amp;MID(I868,2,3)+1),CELL("address",AA868))</f>
        <v>G870</v>
      </c>
      <c r="K868" s="97" t="str">
        <f ca="1">IF(J867&gt;=5,(MID(J868,1,1)&amp;MID(J868,2,3)+1),CELL("address",AB868))</f>
        <v>G871</v>
      </c>
      <c r="L868" s="97" t="str">
        <f ca="1">IF(J867&gt;=6,(MID(K868,1,1)&amp;MID(K868,2,3)+1),CELL("address",AC868))</f>
        <v>$AC$868</v>
      </c>
      <c r="M868" s="97" t="str">
        <f ca="1">IF(J867&gt;=7,(MID(L868,1,1)&amp;MID(L868,2,3)+1),CELL("address",AD868))</f>
        <v>$AD$868</v>
      </c>
      <c r="N868" s="97" t="str">
        <f ca="1">IF(J867&gt;=8,(MID(M868,1,1)&amp;MID(M868,2,3)+1),CELL("address",AE868))</f>
        <v>$AE$868</v>
      </c>
      <c r="O868" s="97" t="str">
        <f ca="1">IF(J867&gt;=9,(MID(N868,1,1)&amp;MID(N868,2,3)+1),CELL("address",AF868))</f>
        <v>$AF$868</v>
      </c>
      <c r="P868" s="97" t="str">
        <f ca="1">IF(J867&gt;=10,(MID(O868,1,1)&amp;MID(O868,2,3)+1),CELL("address",AG868))</f>
        <v>$AG$868</v>
      </c>
      <c r="Q868" s="97" t="str">
        <f ca="1">IF(J867&gt;=11,(MID(P868,1,1)&amp;MID(P868,2,3)+1),CELL("address",AH868))</f>
        <v>$AH$868</v>
      </c>
      <c r="R868" s="97" t="str">
        <f ca="1">IF(J867&gt;=12,(MID(Q868,1,1)&amp;MID(Q868,2,3)+1),CELL("address",AI868))</f>
        <v>$AI$868</v>
      </c>
    </row>
    <row r="869" spans="1:8" ht="15" customHeight="1">
      <c r="A869" s="299"/>
      <c r="B869" s="299"/>
      <c r="C869" s="300"/>
      <c r="D869" s="80" t="s">
        <v>60</v>
      </c>
      <c r="E869" s="68">
        <v>6.343</v>
      </c>
      <c r="G869" s="91" t="str">
        <f>CONCATENATE(D869," - ",E869,", ")</f>
        <v>Transformer body scrap - 6.343, </v>
      </c>
      <c r="H869" s="198"/>
    </row>
    <row r="870" spans="1:8" ht="15" customHeight="1">
      <c r="A870" s="299"/>
      <c r="B870" s="299"/>
      <c r="C870" s="300"/>
      <c r="D870" s="80" t="s">
        <v>64</v>
      </c>
      <c r="E870" s="57">
        <v>0.048</v>
      </c>
      <c r="G870" s="91" t="str">
        <f>CONCATENATE(D870," - ",E870,", ")</f>
        <v>Teen Patra scrap - 0.048, </v>
      </c>
      <c r="H870" s="198"/>
    </row>
    <row r="871" spans="1:8" ht="15" customHeight="1">
      <c r="A871" s="38"/>
      <c r="B871" s="40"/>
      <c r="C871" s="47"/>
      <c r="D871" s="215"/>
      <c r="E871" s="175"/>
      <c r="G871" s="198"/>
      <c r="H871" s="198"/>
    </row>
    <row r="872" spans="1:18" ht="15" customHeight="1">
      <c r="A872" s="52"/>
      <c r="B872" s="53"/>
      <c r="C872" s="53"/>
      <c r="D872" s="55"/>
      <c r="E872" s="56">
        <f>SUM(E874:E876)</f>
        <v>3.7880000000000003</v>
      </c>
      <c r="F872" s="97"/>
      <c r="G872" s="198"/>
      <c r="H872" s="198"/>
      <c r="I872" s="97"/>
      <c r="J872" s="97"/>
      <c r="K872" s="97"/>
      <c r="L872" s="97"/>
      <c r="M872" s="97"/>
      <c r="N872" s="97"/>
      <c r="O872" s="97"/>
      <c r="P872" s="97"/>
      <c r="Q872" s="97"/>
      <c r="R872" s="97"/>
    </row>
    <row r="873" spans="1:18" ht="15" customHeight="1">
      <c r="A873" s="298" t="s">
        <v>5</v>
      </c>
      <c r="B873" s="298"/>
      <c r="C873" s="69" t="s">
        <v>17</v>
      </c>
      <c r="D873" s="207" t="s">
        <v>18</v>
      </c>
      <c r="E873" s="38" t="s">
        <v>7</v>
      </c>
      <c r="F873" s="97"/>
      <c r="G873" s="92" t="str">
        <f>CONCATENATE("Misc. Iron Scrap, Lying at ",C874,". Quantity in MT - ")</f>
        <v>Misc. Iron Scrap, Lying at OL Shri Mukfsar Sahib. Quantity in MT - </v>
      </c>
      <c r="H873" s="297" t="str">
        <f ca="1">CONCATENATE(G873,G874,(INDIRECT(I874)),(INDIRECT(J874)),(INDIRECT(K874)),(INDIRECT(L874)),(INDIRECT(M874)),(INDIRECT(N874)),(INDIRECT(O874)),(INDIRECT(P874)),(INDIRECT(Q874)),(INDIRECT(R874)),".")</f>
        <v>Misc. Iron Scrap, Lying at OL Shri Mukfsar Sahib. Quantity in MT - MS iron scrap - 1.233, Transformer body scrap - 2.302, G.I. scrap - 0.253, .</v>
      </c>
      <c r="I873" s="97" t="str">
        <f aca="true" ca="1" t="array" ref="I873">CELL("address",INDEX(G873:G893,MATCH(TRUE,ISBLANK(G873:G893),0)))</f>
        <v>$G$877</v>
      </c>
      <c r="J873" s="97">
        <f aca="true" t="array" ref="J873">MATCH(TRUE,ISBLANK(G873:G893),0)</f>
        <v>5</v>
      </c>
      <c r="K873" s="97">
        <f>J873-3</f>
        <v>2</v>
      </c>
      <c r="L873" s="97"/>
      <c r="M873" s="97"/>
      <c r="N873" s="97"/>
      <c r="O873" s="97"/>
      <c r="P873" s="97"/>
      <c r="Q873" s="97"/>
      <c r="R873" s="97"/>
    </row>
    <row r="874" spans="1:18" ht="15" customHeight="1">
      <c r="A874" s="299" t="s">
        <v>119</v>
      </c>
      <c r="B874" s="299"/>
      <c r="C874" s="300" t="s">
        <v>312</v>
      </c>
      <c r="D874" s="41" t="s">
        <v>29</v>
      </c>
      <c r="E874" s="68">
        <v>1.233</v>
      </c>
      <c r="F874" s="97"/>
      <c r="G874" s="91" t="str">
        <f>CONCATENATE(D874," - ",E874,", ")</f>
        <v>MS iron scrap - 1.233, </v>
      </c>
      <c r="H874" s="297"/>
      <c r="I874" s="97" t="str">
        <f ca="1">IF(J873&gt;=3,(MID(I873,2,1)&amp;MID(I873,4,3)-K873),CELL("address",Z874))</f>
        <v>G875</v>
      </c>
      <c r="J874" s="97" t="str">
        <f ca="1">IF(J873&gt;=4,(MID(I874,1,1)&amp;MID(I874,2,3)+1),CELL("address",AA874))</f>
        <v>G876</v>
      </c>
      <c r="K874" s="97" t="str">
        <f ca="1">IF(J873&gt;=5,(MID(J874,1,1)&amp;MID(J874,2,3)+1),CELL("address",AB874))</f>
        <v>G877</v>
      </c>
      <c r="L874" s="97" t="str">
        <f ca="1">IF(J873&gt;=6,(MID(K874,1,1)&amp;MID(K874,2,3)+1),CELL("address",AC874))</f>
        <v>$AC$874</v>
      </c>
      <c r="M874" s="97" t="str">
        <f ca="1">IF(J873&gt;=7,(MID(L874,1,1)&amp;MID(L874,2,3)+1),CELL("address",AD874))</f>
        <v>$AD$874</v>
      </c>
      <c r="N874" s="97" t="str">
        <f ca="1">IF(J873&gt;=8,(MID(M874,1,1)&amp;MID(M874,2,3)+1),CELL("address",AE874))</f>
        <v>$AE$874</v>
      </c>
      <c r="O874" s="97" t="str">
        <f ca="1">IF(J873&gt;=9,(MID(N874,1,1)&amp;MID(N874,2,3)+1),CELL("address",AF874))</f>
        <v>$AF$874</v>
      </c>
      <c r="P874" s="97" t="str">
        <f ca="1">IF(J873&gt;=10,(MID(O874,1,1)&amp;MID(O874,2,3)+1),CELL("address",AG874))</f>
        <v>$AG$874</v>
      </c>
      <c r="Q874" s="97" t="str">
        <f ca="1">IF(J873&gt;=11,(MID(P874,1,1)&amp;MID(P874,2,3)+1),CELL("address",AH874))</f>
        <v>$AH$874</v>
      </c>
      <c r="R874" s="97" t="str">
        <f ca="1">IF(J873&gt;=12,(MID(Q874,1,1)&amp;MID(Q874,2,3)+1),CELL("address",AI874))</f>
        <v>$AI$874</v>
      </c>
    </row>
    <row r="875" spans="1:15" ht="15" customHeight="1">
      <c r="A875" s="299"/>
      <c r="B875" s="299"/>
      <c r="C875" s="300"/>
      <c r="D875" s="80" t="s">
        <v>60</v>
      </c>
      <c r="E875" s="68">
        <v>2.302</v>
      </c>
      <c r="F875" s="97"/>
      <c r="G875" s="91" t="str">
        <f>CONCATENATE(D875," - ",E875,", ")</f>
        <v>Transformer body scrap - 2.302, </v>
      </c>
      <c r="H875" s="198"/>
      <c r="I875" s="97"/>
      <c r="J875" s="97"/>
      <c r="K875" s="97"/>
      <c r="L875" s="97"/>
      <c r="M875" s="97"/>
      <c r="N875" s="97"/>
      <c r="O875" s="97"/>
    </row>
    <row r="876" spans="1:15" ht="15" customHeight="1">
      <c r="A876" s="299"/>
      <c r="B876" s="299"/>
      <c r="C876" s="300"/>
      <c r="D876" s="80" t="s">
        <v>192</v>
      </c>
      <c r="E876" s="57">
        <v>0.253</v>
      </c>
      <c r="F876" s="97"/>
      <c r="G876" s="91" t="str">
        <f>CONCATENATE(D876," - ",E876,", ")</f>
        <v>G.I. scrap - 0.253, </v>
      </c>
      <c r="H876" s="198"/>
      <c r="I876" s="97"/>
      <c r="J876" s="97"/>
      <c r="K876" s="97"/>
      <c r="L876" s="97"/>
      <c r="M876" s="97"/>
      <c r="N876" s="97"/>
      <c r="O876" s="97"/>
    </row>
    <row r="877" spans="1:15" ht="15" customHeight="1">
      <c r="A877" s="38"/>
      <c r="B877" s="40"/>
      <c r="C877" s="47"/>
      <c r="D877" s="215"/>
      <c r="E877" s="175"/>
      <c r="F877" s="192"/>
      <c r="G877" s="198"/>
      <c r="H877" s="198"/>
      <c r="I877" s="97"/>
      <c r="J877" s="97"/>
      <c r="K877" s="97"/>
      <c r="L877" s="97"/>
      <c r="M877" s="97"/>
      <c r="N877" s="97"/>
      <c r="O877" s="97"/>
    </row>
    <row r="878" spans="1:18" ht="15" customHeight="1">
      <c r="A878" s="52"/>
      <c r="B878" s="53"/>
      <c r="C878" s="53"/>
      <c r="D878" s="55"/>
      <c r="E878" s="56">
        <f>SUM(E880:E881)</f>
        <v>3.643</v>
      </c>
      <c r="F878" s="97"/>
      <c r="G878" s="198"/>
      <c r="H878" s="198"/>
      <c r="I878" s="97"/>
      <c r="J878" s="97"/>
      <c r="K878" s="97"/>
      <c r="L878" s="97"/>
      <c r="M878" s="97"/>
      <c r="N878" s="97"/>
      <c r="O878" s="97"/>
      <c r="P878" s="97"/>
      <c r="Q878" s="97"/>
      <c r="R878" s="97"/>
    </row>
    <row r="879" spans="1:18" ht="15" customHeight="1">
      <c r="A879" s="298" t="s">
        <v>5</v>
      </c>
      <c r="B879" s="298"/>
      <c r="C879" s="69" t="s">
        <v>17</v>
      </c>
      <c r="D879" s="207" t="s">
        <v>18</v>
      </c>
      <c r="E879" s="38" t="s">
        <v>7</v>
      </c>
      <c r="F879" s="206"/>
      <c r="G879" s="92" t="str">
        <f>CONCATENATE("Misc. Iron Scrap, Lying at ",C880,". Quantity in MT - ")</f>
        <v>Misc. Iron Scrap, Lying at OL Rajpura. Quantity in MT - </v>
      </c>
      <c r="H879" s="297" t="str">
        <f ca="1">CONCATENATE(G879,G880,(INDIRECT(I880)),(INDIRECT(J880)),(INDIRECT(K880)),(INDIRECT(L880)),(INDIRECT(M880)),(INDIRECT(N880)),(INDIRECT(O880)),(INDIRECT(P880)),(INDIRECT(Q880)),(INDIRECT(R880)),".")</f>
        <v>Misc. Iron Scrap, Lying at OL Rajpura. Quantity in MT - MS iron scrap - 2.193, MS Rail scrap - 1.45, .</v>
      </c>
      <c r="I879" s="97" t="str">
        <f aca="true" ca="1" t="array" ref="I879">CELL("address",INDEX(G879:G899,MATCH(TRUE,ISBLANK(G879:G899),0)))</f>
        <v>$G$882</v>
      </c>
      <c r="J879" s="97">
        <f aca="true" t="array" ref="J879">MATCH(TRUE,ISBLANK(G879:G899),0)</f>
        <v>4</v>
      </c>
      <c r="K879" s="97">
        <f>J879-3</f>
        <v>1</v>
      </c>
      <c r="L879" s="97"/>
      <c r="M879" s="97"/>
      <c r="N879" s="97"/>
      <c r="O879" s="97"/>
      <c r="P879" s="97"/>
      <c r="Q879" s="97"/>
      <c r="R879" s="97"/>
    </row>
    <row r="880" spans="1:18" ht="15" customHeight="1">
      <c r="A880" s="299" t="s">
        <v>199</v>
      </c>
      <c r="B880" s="299"/>
      <c r="C880" s="300" t="s">
        <v>103</v>
      </c>
      <c r="D880" s="41" t="s">
        <v>29</v>
      </c>
      <c r="E880" s="68">
        <v>2.193</v>
      </c>
      <c r="F880" s="191"/>
      <c r="G880" s="91" t="str">
        <f>CONCATENATE(D880," - ",E880,", ")</f>
        <v>MS iron scrap - 2.193, </v>
      </c>
      <c r="H880" s="297"/>
      <c r="I880" s="97" t="str">
        <f ca="1">IF(J879&gt;=3,(MID(I879,2,1)&amp;MID(I879,4,3)-K879),CELL("address",Z880))</f>
        <v>G881</v>
      </c>
      <c r="J880" s="97" t="str">
        <f ca="1">IF(J879&gt;=4,(MID(I880,1,1)&amp;MID(I880,2,3)+1),CELL("address",AA880))</f>
        <v>G882</v>
      </c>
      <c r="K880" s="97" t="str">
        <f ca="1">IF(J879&gt;=5,(MID(J880,1,1)&amp;MID(J880,2,3)+1),CELL("address",AB880))</f>
        <v>$AB$880</v>
      </c>
      <c r="L880" s="97" t="str">
        <f ca="1">IF(J879&gt;=6,(MID(K880,1,1)&amp;MID(K880,2,3)+1),CELL("address",AC880))</f>
        <v>$AC$880</v>
      </c>
      <c r="M880" s="97" t="str">
        <f ca="1">IF(J879&gt;=7,(MID(L880,1,1)&amp;MID(L880,2,3)+1),CELL("address",AD880))</f>
        <v>$AD$880</v>
      </c>
      <c r="N880" s="97" t="str">
        <f ca="1">IF(J879&gt;=8,(MID(M880,1,1)&amp;MID(M880,2,3)+1),CELL("address",AE880))</f>
        <v>$AE$880</v>
      </c>
      <c r="O880" s="97" t="str">
        <f ca="1">IF(J879&gt;=9,(MID(N880,1,1)&amp;MID(N880,2,3)+1),CELL("address",AF880))</f>
        <v>$AF$880</v>
      </c>
      <c r="P880" s="97" t="str">
        <f ca="1">IF(J879&gt;=10,(MID(O880,1,1)&amp;MID(O880,2,3)+1),CELL("address",AG880))</f>
        <v>$AG$880</v>
      </c>
      <c r="Q880" s="97" t="str">
        <f ca="1">IF(J879&gt;=11,(MID(P880,1,1)&amp;MID(P880,2,3)+1),CELL("address",AH880))</f>
        <v>$AH$880</v>
      </c>
      <c r="R880" s="97" t="str">
        <f ca="1">IF(J879&gt;=12,(MID(Q880,1,1)&amp;MID(Q880,2,3)+1),CELL("address",AI880))</f>
        <v>$AI$880</v>
      </c>
    </row>
    <row r="881" spans="1:15" ht="15" customHeight="1">
      <c r="A881" s="299"/>
      <c r="B881" s="299"/>
      <c r="C881" s="300"/>
      <c r="D881" s="39" t="s">
        <v>61</v>
      </c>
      <c r="E881" s="57">
        <v>1.45</v>
      </c>
      <c r="F881" s="97"/>
      <c r="G881" s="91" t="str">
        <f>CONCATENATE(D881," - ",E881,", ")</f>
        <v>MS Rail scrap - 1.45, </v>
      </c>
      <c r="H881" s="198"/>
      <c r="I881" s="97"/>
      <c r="J881" s="97"/>
      <c r="K881" s="97"/>
      <c r="L881" s="97"/>
      <c r="M881" s="97"/>
      <c r="N881" s="97"/>
      <c r="O881" s="97"/>
    </row>
    <row r="882" spans="1:15" ht="15" customHeight="1">
      <c r="A882" s="38"/>
      <c r="B882" s="40"/>
      <c r="C882" s="47"/>
      <c r="D882" s="40"/>
      <c r="E882" s="57"/>
      <c r="F882" s="97"/>
      <c r="G882" s="198"/>
      <c r="H882" s="198"/>
      <c r="I882" s="97"/>
      <c r="J882" s="97"/>
      <c r="K882" s="97"/>
      <c r="L882" s="97"/>
      <c r="M882" s="97"/>
      <c r="N882" s="97"/>
      <c r="O882" s="97"/>
    </row>
    <row r="883" spans="1:18" ht="15" customHeight="1">
      <c r="A883" s="52"/>
      <c r="B883" s="53"/>
      <c r="C883" s="53"/>
      <c r="D883" s="55"/>
      <c r="E883" s="56">
        <f>SUM(E885:E885)</f>
        <v>2</v>
      </c>
      <c r="F883" s="97"/>
      <c r="G883" s="198"/>
      <c r="H883" s="198"/>
      <c r="I883" s="97"/>
      <c r="J883" s="97"/>
      <c r="K883" s="97"/>
      <c r="L883" s="97"/>
      <c r="M883" s="97"/>
      <c r="N883" s="97"/>
      <c r="O883" s="97"/>
      <c r="P883" s="97"/>
      <c r="Q883" s="97"/>
      <c r="R883" s="97"/>
    </row>
    <row r="884" spans="1:18" ht="15" customHeight="1">
      <c r="A884" s="298" t="s">
        <v>5</v>
      </c>
      <c r="B884" s="298"/>
      <c r="C884" s="69" t="s">
        <v>17</v>
      </c>
      <c r="D884" s="207" t="s">
        <v>18</v>
      </c>
      <c r="E884" s="38" t="s">
        <v>69</v>
      </c>
      <c r="F884" s="97"/>
      <c r="G884" s="92" t="str">
        <f>CONCATENATE("U/S Tyres, Lying at ",C885,". Quantity in No - ")</f>
        <v>U/S Tyres, Lying at CS Sangrur. Quantity in No - </v>
      </c>
      <c r="H884" s="297" t="str">
        <f ca="1">CONCATENATE(G884,G885,(INDIRECT(I885)),(INDIRECT(J885)),(INDIRECT(K885)),(INDIRECT(L885)),(INDIRECT(M885)),(INDIRECT(N885)),(INDIRECT(O885)),(INDIRECT(P885)),(INDIRECT(Q885)),(INDIRECT(R885)),".")</f>
        <v>U/S Tyres, Lying at CS Sangrur. Quantity in No - U/S Tyres - 2, .</v>
      </c>
      <c r="I884" s="97" t="str">
        <f aca="true" ca="1" t="array" ref="I884">CELL("address",INDEX(G884:G904,MATCH(TRUE,ISBLANK(G884:G904),0)))</f>
        <v>$G$886</v>
      </c>
      <c r="J884" s="97">
        <f aca="true" t="array" ref="J884">MATCH(TRUE,ISBLANK(G884:G904),0)</f>
        <v>3</v>
      </c>
      <c r="K884" s="97">
        <f>J884-3</f>
        <v>0</v>
      </c>
      <c r="L884" s="97"/>
      <c r="M884" s="97"/>
      <c r="N884" s="97"/>
      <c r="O884" s="97"/>
      <c r="P884" s="97"/>
      <c r="Q884" s="97"/>
      <c r="R884" s="97"/>
    </row>
    <row r="885" spans="1:18" ht="15" customHeight="1">
      <c r="A885" s="299" t="s">
        <v>206</v>
      </c>
      <c r="B885" s="299"/>
      <c r="C885" s="250" t="s">
        <v>79</v>
      </c>
      <c r="D885" s="41" t="s">
        <v>336</v>
      </c>
      <c r="E885" s="68">
        <v>2</v>
      </c>
      <c r="F885" s="97"/>
      <c r="G885" s="91" t="str">
        <f>CONCATENATE(D885," - ",E885,", ")</f>
        <v>U/S Tyres - 2, </v>
      </c>
      <c r="H885" s="297"/>
      <c r="I885" s="97" t="str">
        <f ca="1">IF(J884&gt;=3,(MID(I884,2,1)&amp;MID(I884,4,3)-K884),CELL("address",Z885))</f>
        <v>G886</v>
      </c>
      <c r="J885" s="97" t="str">
        <f ca="1">IF(J884&gt;=4,(MID(I885,1,1)&amp;MID(I885,2,3)+1),CELL("address",AA885))</f>
        <v>$AA$885</v>
      </c>
      <c r="K885" s="97" t="str">
        <f ca="1">IF(J884&gt;=5,(MID(J885,1,1)&amp;MID(J885,2,3)+1),CELL("address",AB885))</f>
        <v>$AB$885</v>
      </c>
      <c r="L885" s="97" t="str">
        <f ca="1">IF(J884&gt;=6,(MID(K885,1,1)&amp;MID(K885,2,3)+1),CELL("address",AC885))</f>
        <v>$AC$885</v>
      </c>
      <c r="M885" s="97" t="str">
        <f ca="1">IF(J884&gt;=7,(MID(L885,1,1)&amp;MID(L885,2,3)+1),CELL("address",AD885))</f>
        <v>$AD$885</v>
      </c>
      <c r="N885" s="97" t="str">
        <f ca="1">IF(J884&gt;=8,(MID(M885,1,1)&amp;MID(M885,2,3)+1),CELL("address",AE885))</f>
        <v>$AE$885</v>
      </c>
      <c r="O885" s="97" t="str">
        <f ca="1">IF(J884&gt;=9,(MID(N885,1,1)&amp;MID(N885,2,3)+1),CELL("address",AF885))</f>
        <v>$AF$885</v>
      </c>
      <c r="P885" s="97" t="str">
        <f ca="1">IF(J884&gt;=10,(MID(O885,1,1)&amp;MID(O885,2,3)+1),CELL("address",AG885))</f>
        <v>$AG$885</v>
      </c>
      <c r="Q885" s="97" t="str">
        <f ca="1">IF(J884&gt;=11,(MID(P885,1,1)&amp;MID(P885,2,3)+1),CELL("address",AH885))</f>
        <v>$AH$885</v>
      </c>
      <c r="R885" s="97" t="str">
        <f ca="1">IF(J884&gt;=12,(MID(Q885,1,1)&amp;MID(Q885,2,3)+1),CELL("address",AI885))</f>
        <v>$AI$885</v>
      </c>
    </row>
    <row r="886" spans="1:15" ht="15" customHeight="1">
      <c r="A886" s="38"/>
      <c r="B886" s="40"/>
      <c r="C886" s="47"/>
      <c r="D886" s="40"/>
      <c r="E886" s="57"/>
      <c r="F886" s="97"/>
      <c r="G886" s="198"/>
      <c r="H886" s="198"/>
      <c r="I886" s="97"/>
      <c r="J886" s="97"/>
      <c r="K886" s="97"/>
      <c r="L886" s="97"/>
      <c r="M886" s="97"/>
      <c r="N886" s="97"/>
      <c r="O886" s="97"/>
    </row>
    <row r="887" spans="1:18" ht="15" customHeight="1">
      <c r="A887" s="52"/>
      <c r="B887" s="53"/>
      <c r="C887" s="53"/>
      <c r="D887" s="55"/>
      <c r="E887" s="56">
        <f>SUM(E889:E890)</f>
        <v>105</v>
      </c>
      <c r="F887" s="97"/>
      <c r="G887" s="198"/>
      <c r="H887" s="198"/>
      <c r="I887" s="97"/>
      <c r="J887" s="97"/>
      <c r="K887" s="97"/>
      <c r="L887" s="97"/>
      <c r="M887" s="97"/>
      <c r="N887" s="97"/>
      <c r="O887" s="97"/>
      <c r="P887" s="97"/>
      <c r="Q887" s="97"/>
      <c r="R887" s="97"/>
    </row>
    <row r="888" spans="1:18" ht="15" customHeight="1">
      <c r="A888" s="298" t="s">
        <v>5</v>
      </c>
      <c r="B888" s="298"/>
      <c r="C888" s="69" t="s">
        <v>17</v>
      </c>
      <c r="D888" s="207" t="s">
        <v>18</v>
      </c>
      <c r="E888" s="38" t="s">
        <v>69</v>
      </c>
      <c r="F888" s="97"/>
      <c r="G888" s="92" t="str">
        <f>CONCATENATE("U/S Tyres &amp; U/S Tubes, Lying at ",C889,". Quantity in No - ")</f>
        <v>U/S Tyres &amp; U/S Tubes, Lying at CS Patiala. Quantity in No - </v>
      </c>
      <c r="H888" s="297" t="str">
        <f ca="1">CONCATENATE(G888,G889,(INDIRECT(I889)),(INDIRECT(J889)),(INDIRECT(K889)),(INDIRECT(L889)),(INDIRECT(M889)),(INDIRECT(N889)),(INDIRECT(O889)),(INDIRECT(P889)),(INDIRECT(Q889)),(INDIRECT(R889)),".")</f>
        <v>U/S Tyres &amp; U/S Tubes, Lying at CS Patiala. Quantity in No - U/S Tyres - 60, U/S Tubes - 45, .</v>
      </c>
      <c r="I888" s="97" t="str">
        <f aca="true" ca="1" t="array" ref="I888">CELL("address",INDEX(G888:G908,MATCH(TRUE,ISBLANK(G888:G908),0)))</f>
        <v>$G$891</v>
      </c>
      <c r="J888" s="97">
        <f aca="true" t="array" ref="J888">MATCH(TRUE,ISBLANK(G888:G908),0)</f>
        <v>4</v>
      </c>
      <c r="K888" s="97">
        <f>J888-3</f>
        <v>1</v>
      </c>
      <c r="L888" s="97"/>
      <c r="M888" s="97"/>
      <c r="N888" s="97"/>
      <c r="O888" s="97"/>
      <c r="P888" s="97"/>
      <c r="Q888" s="97"/>
      <c r="R888" s="97"/>
    </row>
    <row r="889" spans="1:18" ht="15" customHeight="1">
      <c r="A889" s="299" t="s">
        <v>207</v>
      </c>
      <c r="B889" s="299"/>
      <c r="C889" s="300" t="s">
        <v>52</v>
      </c>
      <c r="D889" s="39" t="s">
        <v>336</v>
      </c>
      <c r="E889" s="233">
        <v>60</v>
      </c>
      <c r="F889" s="97"/>
      <c r="G889" s="91" t="str">
        <f>CONCATENATE(D889," - ",E889,", ")</f>
        <v>U/S Tyres - 60, </v>
      </c>
      <c r="H889" s="297"/>
      <c r="I889" s="97" t="str">
        <f ca="1">IF(J888&gt;=3,(MID(I888,2,1)&amp;MID(I888,4,3)-K888),CELL("address",Z889))</f>
        <v>G890</v>
      </c>
      <c r="J889" s="97" t="str">
        <f ca="1">IF(J888&gt;=4,(MID(I889,1,1)&amp;MID(I889,2,3)+1),CELL("address",AA889))</f>
        <v>G891</v>
      </c>
      <c r="K889" s="97" t="str">
        <f ca="1">IF(J888&gt;=5,(MID(J889,1,1)&amp;MID(J889,2,3)+1),CELL("address",AB889))</f>
        <v>$AB$889</v>
      </c>
      <c r="L889" s="97" t="str">
        <f ca="1">IF(J888&gt;=6,(MID(K889,1,1)&amp;MID(K889,2,3)+1),CELL("address",AC889))</f>
        <v>$AC$889</v>
      </c>
      <c r="M889" s="97" t="str">
        <f ca="1">IF(J888&gt;=7,(MID(L889,1,1)&amp;MID(L889,2,3)+1),CELL("address",AD889))</f>
        <v>$AD$889</v>
      </c>
      <c r="N889" s="97" t="str">
        <f ca="1">IF(J888&gt;=8,(MID(M889,1,1)&amp;MID(M889,2,3)+1),CELL("address",AE889))</f>
        <v>$AE$889</v>
      </c>
      <c r="O889" s="97" t="str">
        <f ca="1">IF(J888&gt;=9,(MID(N889,1,1)&amp;MID(N889,2,3)+1),CELL("address",AF889))</f>
        <v>$AF$889</v>
      </c>
      <c r="P889" s="97" t="str">
        <f ca="1">IF(J888&gt;=10,(MID(O889,1,1)&amp;MID(O889,2,3)+1),CELL("address",AG889))</f>
        <v>$AG$889</v>
      </c>
      <c r="Q889" s="97" t="str">
        <f ca="1">IF(J888&gt;=11,(MID(P889,1,1)&amp;MID(P889,2,3)+1),CELL("address",AH889))</f>
        <v>$AH$889</v>
      </c>
      <c r="R889" s="97" t="str">
        <f ca="1">IF(J888&gt;=12,(MID(Q889,1,1)&amp;MID(Q889,2,3)+1),CELL("address",AI889))</f>
        <v>$AI$889</v>
      </c>
    </row>
    <row r="890" spans="1:15" ht="15" customHeight="1">
      <c r="A890" s="299"/>
      <c r="B890" s="299"/>
      <c r="C890" s="300"/>
      <c r="D890" s="39" t="s">
        <v>337</v>
      </c>
      <c r="E890" s="233">
        <v>45</v>
      </c>
      <c r="F890" s="97"/>
      <c r="G890" s="91" t="str">
        <f>CONCATENATE(D890," - ",E890,", ")</f>
        <v>U/S Tubes - 45, </v>
      </c>
      <c r="H890" s="198"/>
      <c r="I890" s="97"/>
      <c r="J890" s="97"/>
      <c r="K890" s="97"/>
      <c r="L890" s="97"/>
      <c r="M890" s="97"/>
      <c r="N890" s="97"/>
      <c r="O890" s="97"/>
    </row>
    <row r="891" spans="1:15" ht="15" customHeight="1">
      <c r="A891" s="301"/>
      <c r="B891" s="306"/>
      <c r="C891" s="250"/>
      <c r="D891" s="221"/>
      <c r="E891" s="175"/>
      <c r="F891" s="192"/>
      <c r="G891" s="198"/>
      <c r="H891" s="198"/>
      <c r="I891" s="97"/>
      <c r="J891" s="97"/>
      <c r="K891" s="97"/>
      <c r="L891" s="97"/>
      <c r="M891" s="97"/>
      <c r="N891" s="97"/>
      <c r="O891" s="97"/>
    </row>
    <row r="892" spans="1:18" ht="15" customHeight="1">
      <c r="A892" s="310"/>
      <c r="B892" s="311"/>
      <c r="C892" s="39"/>
      <c r="D892" s="218"/>
      <c r="E892" s="56">
        <f>SUM(E894:E898)</f>
        <v>5.920000000000001</v>
      </c>
      <c r="F892" s="97"/>
      <c r="G892" s="198"/>
      <c r="H892" s="198"/>
      <c r="I892" s="97"/>
      <c r="J892" s="97"/>
      <c r="K892" s="97"/>
      <c r="L892" s="97"/>
      <c r="M892" s="97"/>
      <c r="N892" s="97"/>
      <c r="O892" s="97"/>
      <c r="P892" s="97"/>
      <c r="Q892" s="97"/>
      <c r="R892" s="97"/>
    </row>
    <row r="893" spans="1:18" ht="15" customHeight="1">
      <c r="A893" s="298" t="s">
        <v>5</v>
      </c>
      <c r="B893" s="298"/>
      <c r="C893" s="69" t="s">
        <v>17</v>
      </c>
      <c r="D893" s="207" t="s">
        <v>18</v>
      </c>
      <c r="E893" s="38" t="s">
        <v>7</v>
      </c>
      <c r="F893" s="97"/>
      <c r="G893" s="92" t="str">
        <f>CONCATENATE("Misc. Iron Scrap, Lying at ",C894,". Quantity in MT - ")</f>
        <v>Misc. Iron Scrap, Lying at CS Sangrur. Quantity in MT - </v>
      </c>
      <c r="H893" s="297" t="str">
        <f ca="1">CONCATENATE(G893,G894,(INDIRECT(I894)),(INDIRECT(J894)),(INDIRECT(K894)),(INDIRECT(L894)),(INDIRECT(M894)),(INDIRECT(N894)),(INDIRECT(O894)),(INDIRECT(P894)),(INDIRECT(Q894)),(INDIRECT(R894)),".")</f>
        <v>Misc. Iron Scrap, Lying at CS Sangrur. Quantity in MT - Tubular Poles - 0.155, MS iron scrap - 3.992, MS Rail scrap - 0.33, Transformer body scrap - 1.429, G.I. Scrap - 0.014, .</v>
      </c>
      <c r="I893" s="97" t="str">
        <f aca="true" ca="1" t="array" ref="I893">CELL("address",INDEX(G893:G913,MATCH(TRUE,ISBLANK(G893:G913),0)))</f>
        <v>$G$899</v>
      </c>
      <c r="J893" s="97">
        <f aca="true" t="array" ref="J893">MATCH(TRUE,ISBLANK(G893:G913),0)</f>
        <v>7</v>
      </c>
      <c r="K893" s="97">
        <f>J893-3</f>
        <v>4</v>
      </c>
      <c r="L893" s="97"/>
      <c r="M893" s="97"/>
      <c r="N893" s="97"/>
      <c r="O893" s="97"/>
      <c r="P893" s="97"/>
      <c r="Q893" s="97"/>
      <c r="R893" s="97"/>
    </row>
    <row r="894" spans="1:18" ht="15" customHeight="1">
      <c r="A894" s="299" t="s">
        <v>176</v>
      </c>
      <c r="B894" s="299"/>
      <c r="C894" s="300" t="s">
        <v>79</v>
      </c>
      <c r="D894" s="41" t="s">
        <v>342</v>
      </c>
      <c r="E894" s="68">
        <v>0.155</v>
      </c>
      <c r="F894" s="97"/>
      <c r="G894" s="91" t="str">
        <f>CONCATENATE(D894," - ",E894,", ")</f>
        <v>Tubular Poles - 0.155, </v>
      </c>
      <c r="H894" s="297"/>
      <c r="I894" s="97" t="str">
        <f ca="1">IF(J893&gt;=3,(MID(I893,2,1)&amp;MID(I893,4,3)-K893),CELL("address",Z894))</f>
        <v>G895</v>
      </c>
      <c r="J894" s="97" t="str">
        <f ca="1">IF(J893&gt;=4,(MID(I894,1,1)&amp;MID(I894,2,3)+1),CELL("address",AA894))</f>
        <v>G896</v>
      </c>
      <c r="K894" s="97" t="str">
        <f ca="1">IF(J893&gt;=5,(MID(J894,1,1)&amp;MID(J894,2,3)+1),CELL("address",AB894))</f>
        <v>G897</v>
      </c>
      <c r="L894" s="97" t="str">
        <f ca="1">IF(J893&gt;=6,(MID(K894,1,1)&amp;MID(K894,2,3)+1),CELL("address",AC894))</f>
        <v>G898</v>
      </c>
      <c r="M894" s="97" t="str">
        <f ca="1">IF(J893&gt;=7,(MID(L894,1,1)&amp;MID(L894,2,3)+1),CELL("address",AD894))</f>
        <v>G899</v>
      </c>
      <c r="N894" s="97" t="str">
        <f ca="1">IF(J893&gt;=8,(MID(M894,1,1)&amp;MID(M894,2,3)+1),CELL("address",AE894))</f>
        <v>$AE$894</v>
      </c>
      <c r="O894" s="97" t="str">
        <f ca="1">IF(J893&gt;=9,(MID(N894,1,1)&amp;MID(N894,2,3)+1),CELL("address",AF894))</f>
        <v>$AF$894</v>
      </c>
      <c r="P894" s="97" t="str">
        <f ca="1">IF(J893&gt;=10,(MID(O894,1,1)&amp;MID(O894,2,3)+1),CELL("address",AG894))</f>
        <v>$AG$894</v>
      </c>
      <c r="Q894" s="97" t="str">
        <f ca="1">IF(J893&gt;=11,(MID(P894,1,1)&amp;MID(P894,2,3)+1),CELL("address",AH894))</f>
        <v>$AH$894</v>
      </c>
      <c r="R894" s="97" t="str">
        <f ca="1">IF(J893&gt;=12,(MID(Q894,1,1)&amp;MID(Q894,2,3)+1),CELL("address",AI894))</f>
        <v>$AI$894</v>
      </c>
    </row>
    <row r="895" spans="1:15" ht="15" customHeight="1">
      <c r="A895" s="299"/>
      <c r="B895" s="299"/>
      <c r="C895" s="300"/>
      <c r="D895" s="41" t="s">
        <v>29</v>
      </c>
      <c r="E895" s="57">
        <v>3.992</v>
      </c>
      <c r="F895" s="97"/>
      <c r="G895" s="91" t="str">
        <f>CONCATENATE(D895," - ",E895,", ")</f>
        <v>MS iron scrap - 3.992, </v>
      </c>
      <c r="H895" s="198"/>
      <c r="I895" s="97"/>
      <c r="J895" s="97"/>
      <c r="K895" s="97"/>
      <c r="L895" s="97"/>
      <c r="M895" s="97"/>
      <c r="N895" s="97"/>
      <c r="O895" s="97"/>
    </row>
    <row r="896" spans="1:15" ht="15" customHeight="1">
      <c r="A896" s="299"/>
      <c r="B896" s="299"/>
      <c r="C896" s="300"/>
      <c r="D896" s="41" t="s">
        <v>61</v>
      </c>
      <c r="E896" s="57">
        <v>0.33</v>
      </c>
      <c r="F896" s="97"/>
      <c r="G896" s="91" t="str">
        <f>CONCATENATE(D896," - ",E896,", ")</f>
        <v>MS Rail scrap - 0.33, </v>
      </c>
      <c r="H896" s="198"/>
      <c r="I896" s="97"/>
      <c r="J896" s="97"/>
      <c r="K896" s="97"/>
      <c r="L896" s="97"/>
      <c r="M896" s="97"/>
      <c r="N896" s="97"/>
      <c r="O896" s="97"/>
    </row>
    <row r="897" spans="1:15" ht="15" customHeight="1">
      <c r="A897" s="299"/>
      <c r="B897" s="299"/>
      <c r="C897" s="300"/>
      <c r="D897" s="80" t="s">
        <v>60</v>
      </c>
      <c r="E897" s="57">
        <v>1.429</v>
      </c>
      <c r="F897" s="97"/>
      <c r="G897" s="91" t="str">
        <f>CONCATENATE(D897," - ",E897,", ")</f>
        <v>Transformer body scrap - 1.429, </v>
      </c>
      <c r="H897" s="198"/>
      <c r="I897" s="97"/>
      <c r="J897" s="97"/>
      <c r="K897" s="97"/>
      <c r="L897" s="97"/>
      <c r="M897" s="97"/>
      <c r="N897" s="97"/>
      <c r="O897" s="97"/>
    </row>
    <row r="898" spans="1:15" ht="15" customHeight="1">
      <c r="A898" s="299"/>
      <c r="B898" s="299"/>
      <c r="C898" s="300"/>
      <c r="D898" s="80" t="s">
        <v>197</v>
      </c>
      <c r="E898" s="57">
        <v>0.014</v>
      </c>
      <c r="F898" s="97"/>
      <c r="G898" s="91" t="str">
        <f>CONCATENATE(D898," - ",E898,", ")</f>
        <v>G.I. Scrap - 0.014, </v>
      </c>
      <c r="H898" s="198"/>
      <c r="I898" s="97"/>
      <c r="J898" s="97"/>
      <c r="K898" s="97"/>
      <c r="L898" s="97"/>
      <c r="M898" s="97"/>
      <c r="N898" s="97"/>
      <c r="O898" s="97"/>
    </row>
    <row r="899" spans="1:15" ht="15" customHeight="1">
      <c r="A899" s="38"/>
      <c r="B899" s="40"/>
      <c r="C899" s="47"/>
      <c r="D899" s="215"/>
      <c r="E899" s="175"/>
      <c r="F899" s="97"/>
      <c r="G899" s="198"/>
      <c r="H899" s="198"/>
      <c r="I899" s="97"/>
      <c r="J899" s="97"/>
      <c r="K899" s="97"/>
      <c r="L899" s="97"/>
      <c r="M899" s="97"/>
      <c r="N899" s="97"/>
      <c r="O899" s="97"/>
    </row>
    <row r="900" spans="1:15" ht="15" customHeight="1">
      <c r="A900" s="52"/>
      <c r="B900" s="53"/>
      <c r="C900" s="53"/>
      <c r="D900" s="55"/>
      <c r="E900" s="56">
        <f>SUM(E902:E904)</f>
        <v>3.731</v>
      </c>
      <c r="F900" s="97"/>
      <c r="G900" s="288"/>
      <c r="H900" s="288"/>
      <c r="I900" s="97"/>
      <c r="J900" s="97"/>
      <c r="K900" s="97"/>
      <c r="L900" s="97"/>
      <c r="M900" s="97"/>
      <c r="N900" s="97"/>
      <c r="O900" s="97"/>
    </row>
    <row r="901" spans="1:18" ht="15" customHeight="1">
      <c r="A901" s="298" t="s">
        <v>5</v>
      </c>
      <c r="B901" s="298"/>
      <c r="C901" s="69" t="s">
        <v>17</v>
      </c>
      <c r="D901" s="207" t="s">
        <v>18</v>
      </c>
      <c r="E901" s="38" t="s">
        <v>7</v>
      </c>
      <c r="F901" s="97"/>
      <c r="G901" s="92" t="str">
        <f>CONCATENATE("Misc. Iron Scrap, Lying at ",C902,". Quantity in MT - ")</f>
        <v>Misc. Iron Scrap, Lying at OL Barnala. Quantity in MT - </v>
      </c>
      <c r="H901" s="297" t="str">
        <f ca="1">CONCATENATE(G901,G902,(INDIRECT(I902)),(INDIRECT(J902)),(INDIRECT(K902)),(INDIRECT(L902)),(INDIRECT(M902)),(INDIRECT(N902)),(INDIRECT(O902)),(INDIRECT(P902)),(INDIRECT(Q902)),(INDIRECT(R902)),".")</f>
        <v>Misc. Iron Scrap, Lying at OL Barnala. Quantity in MT - Tubular Poles - 0.282, MS iron scrap - 2.862, Transformer body scrap - 0.587, .</v>
      </c>
      <c r="I901" s="97" t="str">
        <f aca="true" ca="1" t="array" ref="I901">CELL("address",INDEX(G901:G919,MATCH(TRUE,ISBLANK(G901:G919),0)))</f>
        <v>$G$905</v>
      </c>
      <c r="J901" s="97">
        <f aca="true" t="array" ref="J901">MATCH(TRUE,ISBLANK(G901:G919),0)</f>
        <v>5</v>
      </c>
      <c r="K901" s="97">
        <f>J901-3</f>
        <v>2</v>
      </c>
      <c r="L901" s="97"/>
      <c r="M901" s="97"/>
      <c r="N901" s="97"/>
      <c r="O901" s="97"/>
      <c r="P901" s="97"/>
      <c r="Q901" s="97"/>
      <c r="R901" s="97"/>
    </row>
    <row r="902" spans="1:18" ht="15" customHeight="1">
      <c r="A902" s="299" t="s">
        <v>177</v>
      </c>
      <c r="B902" s="299"/>
      <c r="C902" s="300" t="s">
        <v>189</v>
      </c>
      <c r="D902" s="41" t="s">
        <v>342</v>
      </c>
      <c r="E902" s="68">
        <v>0.282</v>
      </c>
      <c r="F902" s="97"/>
      <c r="G902" s="91" t="str">
        <f>CONCATENATE(D902," - ",E902,", ")</f>
        <v>Tubular Poles - 0.282, </v>
      </c>
      <c r="H902" s="297"/>
      <c r="I902" s="97" t="str">
        <f ca="1">IF(J901&gt;=3,(MID(I901,2,1)&amp;MID(I901,4,3)-K901),CELL("address",Z902))</f>
        <v>G903</v>
      </c>
      <c r="J902" s="97" t="str">
        <f ca="1">IF(J901&gt;=4,(MID(I902,1,1)&amp;MID(I902,2,3)+1),CELL("address",AA902))</f>
        <v>G904</v>
      </c>
      <c r="K902" s="97" t="str">
        <f ca="1">IF(J901&gt;=5,(MID(J902,1,1)&amp;MID(J902,2,3)+1),CELL("address",AB902))</f>
        <v>G905</v>
      </c>
      <c r="L902" s="97" t="str">
        <f ca="1">IF(J901&gt;=6,(MID(K902,1,1)&amp;MID(K902,2,3)+1),CELL("address",AC902))</f>
        <v>$AC$902</v>
      </c>
      <c r="M902" s="97" t="str">
        <f ca="1">IF(J901&gt;=7,(MID(L902,1,1)&amp;MID(L902,2,3)+1),CELL("address",AD902))</f>
        <v>$AD$902</v>
      </c>
      <c r="N902" s="97" t="str">
        <f ca="1">IF(J901&gt;=8,(MID(M902,1,1)&amp;MID(M902,2,3)+1),CELL("address",AE902))</f>
        <v>$AE$902</v>
      </c>
      <c r="O902" s="97" t="str">
        <f ca="1">IF(J901&gt;=9,(MID(N902,1,1)&amp;MID(N902,2,3)+1),CELL("address",AF902))</f>
        <v>$AF$902</v>
      </c>
      <c r="P902" s="97" t="str">
        <f ca="1">IF(J901&gt;=10,(MID(O902,1,1)&amp;MID(O902,2,3)+1),CELL("address",AG902))</f>
        <v>$AG$902</v>
      </c>
      <c r="Q902" s="97" t="str">
        <f ca="1">IF(J901&gt;=11,(MID(P902,1,1)&amp;MID(P902,2,3)+1),CELL("address",AH902))</f>
        <v>$AH$902</v>
      </c>
      <c r="R902" s="97" t="str">
        <f ca="1">IF(J901&gt;=12,(MID(Q902,1,1)&amp;MID(Q902,2,3)+1),CELL("address",AI902))</f>
        <v>$AI$902</v>
      </c>
    </row>
    <row r="903" spans="1:18" ht="15" customHeight="1">
      <c r="A903" s="299"/>
      <c r="B903" s="299"/>
      <c r="C903" s="300"/>
      <c r="D903" s="41" t="s">
        <v>29</v>
      </c>
      <c r="E903" s="57">
        <v>2.862</v>
      </c>
      <c r="F903" s="97"/>
      <c r="G903" s="91" t="str">
        <f>CONCATENATE(D903," - ",E903,", ")</f>
        <v>MS iron scrap - 2.862, </v>
      </c>
      <c r="H903" s="288"/>
      <c r="I903" s="97" t="e">
        <f ca="1">IF(J902&gt;=3,(MID(I902,2,1)&amp;MID(I902,4,3)-K902),CELL("address",Z903))</f>
        <v>#VALUE!</v>
      </c>
      <c r="J903" s="97" t="e">
        <f ca="1">IF(J902&gt;=4,(MID(I903,1,1)&amp;MID(I903,2,3)+1),CELL("address",AA903))</f>
        <v>#VALUE!</v>
      </c>
      <c r="K903" s="97" t="e">
        <f ca="1">IF(J902&gt;=5,(MID(J903,1,1)&amp;MID(J903,2,3)+1),CELL("address",AB903))</f>
        <v>#VALUE!</v>
      </c>
      <c r="L903" s="97" t="e">
        <f ca="1">IF(J902&gt;=6,(MID(K903,1,1)&amp;MID(K903,2,3)+1),CELL("address",AC903))</f>
        <v>#VALUE!</v>
      </c>
      <c r="M903" s="97" t="e">
        <f ca="1">IF(J902&gt;=7,(MID(L903,1,1)&amp;MID(L903,2,3)+1),CELL("address",AD903))</f>
        <v>#VALUE!</v>
      </c>
      <c r="N903" s="97" t="e">
        <f ca="1">IF(J902&gt;=8,(MID(M903,1,1)&amp;MID(M903,2,3)+1),CELL("address",AE903))</f>
        <v>#VALUE!</v>
      </c>
      <c r="O903" s="97" t="e">
        <f ca="1">IF(J902&gt;=9,(MID(N903,1,1)&amp;MID(N903,2,3)+1),CELL("address",AF903))</f>
        <v>#VALUE!</v>
      </c>
      <c r="P903" s="97" t="e">
        <f ca="1">IF(J902&gt;=10,(MID(O903,1,1)&amp;MID(O903,2,3)+1),CELL("address",AG903))</f>
        <v>#VALUE!</v>
      </c>
      <c r="Q903" s="97" t="e">
        <f ca="1">IF(J902&gt;=11,(MID(P903,1,1)&amp;MID(P903,2,3)+1),CELL("address",AH903))</f>
        <v>#VALUE!</v>
      </c>
      <c r="R903" s="97" t="e">
        <f ca="1">IF(J902&gt;=12,(MID(Q903,1,1)&amp;MID(Q903,2,3)+1),CELL("address",AI903))</f>
        <v>#VALUE!</v>
      </c>
    </row>
    <row r="904" spans="1:15" ht="15" customHeight="1">
      <c r="A904" s="299"/>
      <c r="B904" s="299"/>
      <c r="C904" s="300"/>
      <c r="D904" s="80" t="s">
        <v>60</v>
      </c>
      <c r="E904" s="57">
        <v>0.587</v>
      </c>
      <c r="F904" s="97"/>
      <c r="G904" s="91" t="str">
        <f>CONCATENATE(D904," - ",E904,", ")</f>
        <v>Transformer body scrap - 0.587, </v>
      </c>
      <c r="H904" s="288"/>
      <c r="I904" s="97"/>
      <c r="J904" s="97"/>
      <c r="K904" s="97"/>
      <c r="L904" s="97"/>
      <c r="M904" s="97"/>
      <c r="N904" s="97"/>
      <c r="O904" s="97"/>
    </row>
    <row r="905" spans="1:15" ht="15" customHeight="1">
      <c r="A905" s="38"/>
      <c r="B905" s="40"/>
      <c r="C905" s="47"/>
      <c r="D905" s="215"/>
      <c r="E905" s="175"/>
      <c r="F905" s="97"/>
      <c r="G905" s="288"/>
      <c r="H905" s="288"/>
      <c r="I905" s="97"/>
      <c r="J905" s="97"/>
      <c r="K905" s="97"/>
      <c r="L905" s="97"/>
      <c r="M905" s="97"/>
      <c r="N905" s="97"/>
      <c r="O905" s="97"/>
    </row>
    <row r="906" spans="1:15" ht="15" customHeight="1">
      <c r="A906" s="52"/>
      <c r="B906" s="53"/>
      <c r="C906" s="53"/>
      <c r="D906" s="55"/>
      <c r="E906" s="56">
        <f>SUM(E908:E912)</f>
        <v>5.339</v>
      </c>
      <c r="F906" s="97"/>
      <c r="G906" s="288"/>
      <c r="H906" s="288"/>
      <c r="I906" s="97"/>
      <c r="J906" s="97"/>
      <c r="K906" s="97"/>
      <c r="L906" s="97"/>
      <c r="M906" s="97"/>
      <c r="N906" s="97"/>
      <c r="O906" s="97"/>
    </row>
    <row r="907" spans="1:18" ht="15" customHeight="1">
      <c r="A907" s="298" t="s">
        <v>5</v>
      </c>
      <c r="B907" s="298"/>
      <c r="C907" s="69" t="s">
        <v>17</v>
      </c>
      <c r="D907" s="207" t="s">
        <v>18</v>
      </c>
      <c r="E907" s="38" t="s">
        <v>7</v>
      </c>
      <c r="F907" s="97"/>
      <c r="G907" s="92" t="str">
        <f>CONCATENATE("Misc. Iron Scrap, Lying at ",C908,". Quantity in MT - ")</f>
        <v>Misc. Iron Scrap, Lying at CS Mohali. Quantity in MT - </v>
      </c>
      <c r="H907" s="297" t="str">
        <f ca="1">CONCATENATE(G907,G908,(INDIRECT(I908)),(INDIRECT(J908)),(INDIRECT(K908)),(INDIRECT(L908)),(INDIRECT(M908)),(INDIRECT(N908)),(INDIRECT(O908)),(INDIRECT(P908)),(INDIRECT(Q908)),(INDIRECT(R908)),".")</f>
        <v>Misc. Iron Scrap, Lying at CS Mohali. Quantity in MT - Piller box scrap - 0.095, MS iron scrap - 3.052, MS Rail scrap - 0.18, Transformer body scrap - 1.852, G.I. Scrap - 0.16, .</v>
      </c>
      <c r="I907" s="97" t="str">
        <f aca="true" ca="1" t="array" ref="I907">CELL("address",INDEX(G907:G925,MATCH(TRUE,ISBLANK(G907:G925),0)))</f>
        <v>$G$913</v>
      </c>
      <c r="J907" s="97">
        <f aca="true" t="array" ref="J907">MATCH(TRUE,ISBLANK(G907:G925),0)</f>
        <v>7</v>
      </c>
      <c r="K907" s="97">
        <f>J907-3</f>
        <v>4</v>
      </c>
      <c r="L907" s="97"/>
      <c r="M907" s="97"/>
      <c r="N907" s="97"/>
      <c r="O907" s="97"/>
      <c r="P907" s="97"/>
      <c r="Q907" s="97"/>
      <c r="R907" s="97"/>
    </row>
    <row r="908" spans="1:18" ht="15" customHeight="1">
      <c r="A908" s="299" t="s">
        <v>307</v>
      </c>
      <c r="B908" s="299"/>
      <c r="C908" s="300" t="s">
        <v>62</v>
      </c>
      <c r="D908" s="41" t="s">
        <v>347</v>
      </c>
      <c r="E908" s="68">
        <v>0.095</v>
      </c>
      <c r="F908" s="191"/>
      <c r="G908" s="91" t="str">
        <f>CONCATENATE(D908," - ",E908,", ")</f>
        <v>Piller box scrap - 0.095, </v>
      </c>
      <c r="H908" s="297"/>
      <c r="I908" s="97" t="str">
        <f ca="1">IF(J907&gt;=3,(MID(I907,2,1)&amp;MID(I907,4,3)-K907),CELL("address",Z908))</f>
        <v>G909</v>
      </c>
      <c r="J908" s="97" t="str">
        <f ca="1">IF(J907&gt;=4,(MID(I908,1,1)&amp;MID(I908,2,3)+1),CELL("address",AA908))</f>
        <v>G910</v>
      </c>
      <c r="K908" s="97" t="str">
        <f ca="1">IF(J907&gt;=5,(MID(J908,1,1)&amp;MID(J908,2,3)+1),CELL("address",AB908))</f>
        <v>G911</v>
      </c>
      <c r="L908" s="97" t="str">
        <f ca="1">IF(J907&gt;=6,(MID(K908,1,1)&amp;MID(K908,2,3)+1),CELL("address",AC908))</f>
        <v>G912</v>
      </c>
      <c r="M908" s="97" t="str">
        <f ca="1">IF(J907&gt;=7,(MID(L908,1,1)&amp;MID(L908,2,3)+1),CELL("address",AD908))</f>
        <v>G913</v>
      </c>
      <c r="N908" s="97" t="str">
        <f ca="1">IF(J907&gt;=8,(MID(M908,1,1)&amp;MID(M908,2,3)+1),CELL("address",AE908))</f>
        <v>$AE$908</v>
      </c>
      <c r="O908" s="97" t="str">
        <f ca="1">IF(J907&gt;=9,(MID(N908,1,1)&amp;MID(N908,2,3)+1),CELL("address",AF908))</f>
        <v>$AF$908</v>
      </c>
      <c r="P908" s="97" t="str">
        <f ca="1">IF(J907&gt;=10,(MID(O908,1,1)&amp;MID(O908,2,3)+1),CELL("address",AG908))</f>
        <v>$AG$908</v>
      </c>
      <c r="Q908" s="97" t="str">
        <f ca="1">IF(J907&gt;=11,(MID(P908,1,1)&amp;MID(P908,2,3)+1),CELL("address",AH908))</f>
        <v>$AH$908</v>
      </c>
      <c r="R908" s="97" t="str">
        <f ca="1">IF(J907&gt;=12,(MID(Q908,1,1)&amp;MID(Q908,2,3)+1),CELL("address",AI908))</f>
        <v>$AI$908</v>
      </c>
    </row>
    <row r="909" spans="1:18" ht="15" customHeight="1">
      <c r="A909" s="299"/>
      <c r="B909" s="299"/>
      <c r="C909" s="300"/>
      <c r="D909" s="41" t="s">
        <v>29</v>
      </c>
      <c r="E909" s="57">
        <v>3.052</v>
      </c>
      <c r="F909" s="191"/>
      <c r="G909" s="91" t="str">
        <f>CONCATENATE(D909," - ",E909,", ")</f>
        <v>MS iron scrap - 3.052, </v>
      </c>
      <c r="H909" s="288"/>
      <c r="I909" s="97" t="e">
        <f ca="1">IF(J908&gt;=3,(MID(I908,2,1)&amp;MID(I908,4,3)-K908),CELL("address",Z909))</f>
        <v>#VALUE!</v>
      </c>
      <c r="J909" s="97" t="e">
        <f ca="1">IF(J908&gt;=4,(MID(I909,1,1)&amp;MID(I909,2,3)+1),CELL("address",AA909))</f>
        <v>#VALUE!</v>
      </c>
      <c r="K909" s="97" t="e">
        <f ca="1">IF(J908&gt;=5,(MID(J909,1,1)&amp;MID(J909,2,3)+1),CELL("address",AB909))</f>
        <v>#VALUE!</v>
      </c>
      <c r="L909" s="97" t="e">
        <f ca="1">IF(J908&gt;=6,(MID(K909,1,1)&amp;MID(K909,2,3)+1),CELL("address",AC909))</f>
        <v>#VALUE!</v>
      </c>
      <c r="M909" s="97" t="e">
        <f ca="1">IF(J908&gt;=7,(MID(L909,1,1)&amp;MID(L909,2,3)+1),CELL("address",AD909))</f>
        <v>#VALUE!</v>
      </c>
      <c r="N909" s="97" t="e">
        <f ca="1">IF(J908&gt;=8,(MID(M909,1,1)&amp;MID(M909,2,3)+1),CELL("address",AE909))</f>
        <v>#VALUE!</v>
      </c>
      <c r="O909" s="97" t="e">
        <f ca="1">IF(J908&gt;=9,(MID(N909,1,1)&amp;MID(N909,2,3)+1),CELL("address",AF909))</f>
        <v>#VALUE!</v>
      </c>
      <c r="P909" s="97" t="e">
        <f ca="1">IF(J908&gt;=10,(MID(O909,1,1)&amp;MID(O909,2,3)+1),CELL("address",AG909))</f>
        <v>#VALUE!</v>
      </c>
      <c r="Q909" s="97" t="e">
        <f ca="1">IF(J908&gt;=11,(MID(P909,1,1)&amp;MID(P909,2,3)+1),CELL("address",AH909))</f>
        <v>#VALUE!</v>
      </c>
      <c r="R909" s="97" t="e">
        <f ca="1">IF(J908&gt;=12,(MID(Q909,1,1)&amp;MID(Q909,2,3)+1),CELL("address",AI909))</f>
        <v>#VALUE!</v>
      </c>
    </row>
    <row r="910" spans="1:15" ht="15" customHeight="1">
      <c r="A910" s="299"/>
      <c r="B910" s="299"/>
      <c r="C910" s="300"/>
      <c r="D910" s="41" t="s">
        <v>61</v>
      </c>
      <c r="E910" s="57">
        <v>0.18</v>
      </c>
      <c r="F910" s="191"/>
      <c r="G910" s="91" t="str">
        <f>CONCATENATE(D910," - ",E910,", ")</f>
        <v>MS Rail scrap - 0.18, </v>
      </c>
      <c r="H910" s="288"/>
      <c r="I910" s="97"/>
      <c r="J910" s="97"/>
      <c r="K910" s="97"/>
      <c r="L910" s="97"/>
      <c r="M910" s="97"/>
      <c r="N910" s="97"/>
      <c r="O910" s="97"/>
    </row>
    <row r="911" spans="1:15" ht="15" customHeight="1">
      <c r="A911" s="299"/>
      <c r="B911" s="299"/>
      <c r="C911" s="300"/>
      <c r="D911" s="80" t="s">
        <v>60</v>
      </c>
      <c r="E911" s="57">
        <v>1.852</v>
      </c>
      <c r="F911" s="191"/>
      <c r="G911" s="91" t="str">
        <f>CONCATENATE(D911," - ",E911,", ")</f>
        <v>Transformer body scrap - 1.852, </v>
      </c>
      <c r="H911" s="288"/>
      <c r="I911" s="97"/>
      <c r="J911" s="97"/>
      <c r="K911" s="97"/>
      <c r="L911" s="97"/>
      <c r="M911" s="97"/>
      <c r="N911" s="97"/>
      <c r="O911" s="97"/>
    </row>
    <row r="912" spans="1:15" ht="15" customHeight="1">
      <c r="A912" s="299"/>
      <c r="B912" s="299"/>
      <c r="C912" s="300"/>
      <c r="D912" s="80" t="s">
        <v>197</v>
      </c>
      <c r="E912" s="57">
        <v>0.16</v>
      </c>
      <c r="F912" s="97"/>
      <c r="G912" s="91" t="str">
        <f>CONCATENATE(D912," - ",E912,", ")</f>
        <v>G.I. Scrap - 0.16, </v>
      </c>
      <c r="H912" s="288"/>
      <c r="I912" s="97"/>
      <c r="J912" s="97"/>
      <c r="K912" s="97"/>
      <c r="L912" s="97"/>
      <c r="M912" s="97"/>
      <c r="N912" s="97"/>
      <c r="O912" s="97"/>
    </row>
    <row r="913" spans="1:15" ht="15" customHeight="1">
      <c r="A913" s="38"/>
      <c r="B913" s="40"/>
      <c r="C913" s="47"/>
      <c r="D913" s="40"/>
      <c r="E913" s="57"/>
      <c r="F913" s="97"/>
      <c r="G913" s="288"/>
      <c r="H913" s="288"/>
      <c r="I913" s="97"/>
      <c r="J913" s="97"/>
      <c r="K913" s="97"/>
      <c r="L913" s="97"/>
      <c r="M913" s="97"/>
      <c r="N913" s="97"/>
      <c r="O913" s="97"/>
    </row>
    <row r="914" spans="1:15" ht="15" customHeight="1">
      <c r="A914" s="52"/>
      <c r="B914" s="53"/>
      <c r="C914" s="53"/>
      <c r="D914" s="55"/>
      <c r="E914" s="56">
        <f>SUM(E916:E925)</f>
        <v>15.242000000000003</v>
      </c>
      <c r="F914" s="97"/>
      <c r="G914" s="288"/>
      <c r="H914" s="288"/>
      <c r="I914" s="97"/>
      <c r="J914" s="97"/>
      <c r="K914" s="97"/>
      <c r="L914" s="97"/>
      <c r="M914" s="97"/>
      <c r="N914" s="97"/>
      <c r="O914" s="97"/>
    </row>
    <row r="915" spans="1:18" ht="15" customHeight="1">
      <c r="A915" s="298" t="s">
        <v>5</v>
      </c>
      <c r="B915" s="298"/>
      <c r="C915" s="69" t="s">
        <v>17</v>
      </c>
      <c r="D915" s="207" t="s">
        <v>18</v>
      </c>
      <c r="E915" s="38" t="s">
        <v>7</v>
      </c>
      <c r="F915" s="97"/>
      <c r="G915" s="92" t="str">
        <f>CONCATENATE("Misc. Iron Scrap, Lying at ",C916,". Quantity in MT - ")</f>
        <v>Misc. Iron Scrap, Lying at CS Patiala. Quantity in MT - </v>
      </c>
      <c r="H915" s="297" t="str">
        <f ca="1">CONCATENATE(G915,G916,(INDIRECT(I916)),(INDIRECT(J916)),(INDIRECT(K916)),(INDIRECT(L916)),(INDIRECT(M916)),(INDIRECT(N916)),(INDIRECT(O916)),(INDIRECT(P916)),(INDIRECT(Q916)),(INDIRECT(R916)),".")</f>
        <v>Misc. Iron Scrap, Lying at CS Patiala. Quantity in MT - Iron scrap of Bush fixings - 0.93, MS iron scrap - 7.53, MS Rail scrap - 2.717, M.S. Girder Scrap - 0.428, MS Nuts &amp; bolts scrap - 0.345, Cast Iron Scrap - 0.078, Transformer body scrap - 1.879, Teen Patra scrap - 1.09, G.I. scrap - 0.226, G.I. Wire/GSL scrap - 0.019, .</v>
      </c>
      <c r="I915" s="97" t="str">
        <f aca="true" ca="1" t="array" ref="I915">CELL("address",INDEX(G915:G933,MATCH(TRUE,ISBLANK(G915:G933),0)))</f>
        <v>$G$926</v>
      </c>
      <c r="J915" s="97">
        <f aca="true" t="array" ref="J915">MATCH(TRUE,ISBLANK(G915:G933),0)</f>
        <v>12</v>
      </c>
      <c r="K915" s="97">
        <f>J915-3</f>
        <v>9</v>
      </c>
      <c r="L915" s="97"/>
      <c r="M915" s="97"/>
      <c r="N915" s="97"/>
      <c r="O915" s="97"/>
      <c r="P915" s="97"/>
      <c r="Q915" s="97"/>
      <c r="R915" s="97"/>
    </row>
    <row r="916" spans="1:18" ht="15" customHeight="1">
      <c r="A916" s="299" t="s">
        <v>343</v>
      </c>
      <c r="B916" s="299"/>
      <c r="C916" s="300" t="s">
        <v>52</v>
      </c>
      <c r="D916" s="41" t="s">
        <v>348</v>
      </c>
      <c r="E916" s="68">
        <v>0.93</v>
      </c>
      <c r="F916" s="191"/>
      <c r="G916" s="91" t="str">
        <f>CONCATENATE(D916," - ",E916,", ")</f>
        <v>Iron scrap of Bush fixings - 0.93, </v>
      </c>
      <c r="H916" s="297"/>
      <c r="I916" s="97" t="str">
        <f ca="1">IF(J915&gt;=3,(MID(I915,2,1)&amp;MID(I915,4,3)-K915),CELL("address",Z916))</f>
        <v>G917</v>
      </c>
      <c r="J916" s="97" t="str">
        <f ca="1">IF(J915&gt;=4,(MID(I916,1,1)&amp;MID(I916,2,3)+1),CELL("address",AA916))</f>
        <v>G918</v>
      </c>
      <c r="K916" s="97" t="str">
        <f ca="1">IF(J915&gt;=5,(MID(J916,1,1)&amp;MID(J916,2,3)+1),CELL("address",AB916))</f>
        <v>G919</v>
      </c>
      <c r="L916" s="97" t="str">
        <f ca="1">IF(J915&gt;=6,(MID(K916,1,1)&amp;MID(K916,2,3)+1),CELL("address",AC916))</f>
        <v>G920</v>
      </c>
      <c r="M916" s="97" t="str">
        <f ca="1">IF(J915&gt;=7,(MID(L916,1,1)&amp;MID(L916,2,3)+1),CELL("address",AD916))</f>
        <v>G921</v>
      </c>
      <c r="N916" s="97" t="str">
        <f ca="1">IF(J915&gt;=8,(MID(M916,1,1)&amp;MID(M916,2,3)+1),CELL("address",AE916))</f>
        <v>G922</v>
      </c>
      <c r="O916" s="97" t="str">
        <f ca="1">IF(J915&gt;=9,(MID(N916,1,1)&amp;MID(N916,2,3)+1),CELL("address",AF916))</f>
        <v>G923</v>
      </c>
      <c r="P916" s="97" t="str">
        <f ca="1">IF(J915&gt;=10,(MID(O916,1,1)&amp;MID(O916,2,3)+1),CELL("address",AG916))</f>
        <v>G924</v>
      </c>
      <c r="Q916" s="97" t="str">
        <f ca="1">IF(J915&gt;=11,(MID(P916,1,1)&amp;MID(P916,2,3)+1),CELL("address",AH916))</f>
        <v>G925</v>
      </c>
      <c r="R916" s="97" t="str">
        <f ca="1">IF(J915&gt;=12,(MID(Q916,1,1)&amp;MID(Q916,2,3)+1),CELL("address",AI916))</f>
        <v>G926</v>
      </c>
    </row>
    <row r="917" spans="1:18" ht="15" customHeight="1">
      <c r="A917" s="299"/>
      <c r="B917" s="299"/>
      <c r="C917" s="300"/>
      <c r="D917" s="41" t="s">
        <v>29</v>
      </c>
      <c r="E917" s="57">
        <v>7.53</v>
      </c>
      <c r="F917" s="191"/>
      <c r="G917" s="91" t="str">
        <f aca="true" t="shared" si="5" ref="G917:G925">CONCATENATE(D917," - ",E917,", ")</f>
        <v>MS iron scrap - 7.53, </v>
      </c>
      <c r="H917" s="288"/>
      <c r="I917" s="97" t="e">
        <f ca="1">IF(J916&gt;=3,(MID(I916,2,1)&amp;MID(I916,4,3)-K916),CELL("address",Z917))</f>
        <v>#VALUE!</v>
      </c>
      <c r="J917" s="97" t="e">
        <f ca="1">IF(J916&gt;=4,(MID(I917,1,1)&amp;MID(I917,2,3)+1),CELL("address",AA917))</f>
        <v>#VALUE!</v>
      </c>
      <c r="K917" s="97" t="e">
        <f ca="1">IF(J916&gt;=5,(MID(J917,1,1)&amp;MID(J917,2,3)+1),CELL("address",AB917))</f>
        <v>#VALUE!</v>
      </c>
      <c r="L917" s="97" t="e">
        <f ca="1">IF(J916&gt;=6,(MID(K917,1,1)&amp;MID(K917,2,3)+1),CELL("address",AC917))</f>
        <v>#VALUE!</v>
      </c>
      <c r="M917" s="97" t="e">
        <f ca="1">IF(J916&gt;=7,(MID(L917,1,1)&amp;MID(L917,2,3)+1),CELL("address",AD917))</f>
        <v>#VALUE!</v>
      </c>
      <c r="N917" s="97" t="e">
        <f ca="1">IF(J916&gt;=8,(MID(M917,1,1)&amp;MID(M917,2,3)+1),CELL("address",AE917))</f>
        <v>#VALUE!</v>
      </c>
      <c r="O917" s="97" t="e">
        <f ca="1">IF(J916&gt;=9,(MID(N917,1,1)&amp;MID(N917,2,3)+1),CELL("address",AF917))</f>
        <v>#VALUE!</v>
      </c>
      <c r="P917" s="97" t="e">
        <f ca="1">IF(J916&gt;=10,(MID(O917,1,1)&amp;MID(O917,2,3)+1),CELL("address",AG917))</f>
        <v>#VALUE!</v>
      </c>
      <c r="Q917" s="97" t="e">
        <f ca="1">IF(J916&gt;=11,(MID(P917,1,1)&amp;MID(P917,2,3)+1),CELL("address",AH917))</f>
        <v>#VALUE!</v>
      </c>
      <c r="R917" s="97" t="e">
        <f ca="1">IF(J916&gt;=12,(MID(Q917,1,1)&amp;MID(Q917,2,3)+1),CELL("address",AI917))</f>
        <v>#VALUE!</v>
      </c>
    </row>
    <row r="918" spans="1:15" ht="15" customHeight="1">
      <c r="A918" s="299"/>
      <c r="B918" s="299"/>
      <c r="C918" s="300"/>
      <c r="D918" s="41" t="s">
        <v>61</v>
      </c>
      <c r="E918" s="57">
        <v>2.717</v>
      </c>
      <c r="F918" s="191"/>
      <c r="G918" s="91" t="str">
        <f t="shared" si="5"/>
        <v>MS Rail scrap - 2.717, </v>
      </c>
      <c r="H918" s="288"/>
      <c r="I918" s="97"/>
      <c r="J918" s="97"/>
      <c r="K918" s="97"/>
      <c r="L918" s="97"/>
      <c r="M918" s="97"/>
      <c r="N918" s="97"/>
      <c r="O918" s="97"/>
    </row>
    <row r="919" spans="1:15" ht="15" customHeight="1">
      <c r="A919" s="299"/>
      <c r="B919" s="299"/>
      <c r="C919" s="300"/>
      <c r="D919" s="80" t="s">
        <v>440</v>
      </c>
      <c r="E919" s="57">
        <v>0.428</v>
      </c>
      <c r="F919" s="191"/>
      <c r="G919" s="91" t="str">
        <f t="shared" si="5"/>
        <v>M.S. Girder Scrap - 0.428, </v>
      </c>
      <c r="H919" s="288"/>
      <c r="I919" s="97"/>
      <c r="J919" s="97"/>
      <c r="K919" s="97"/>
      <c r="L919" s="97"/>
      <c r="M919" s="97"/>
      <c r="N919" s="97"/>
      <c r="O919" s="97"/>
    </row>
    <row r="920" spans="1:15" ht="15" customHeight="1">
      <c r="A920" s="299"/>
      <c r="B920" s="299"/>
      <c r="C920" s="300"/>
      <c r="D920" s="80" t="s">
        <v>441</v>
      </c>
      <c r="E920" s="57">
        <v>0.345</v>
      </c>
      <c r="F920" s="191"/>
      <c r="G920" s="91" t="str">
        <f t="shared" si="5"/>
        <v>MS Nuts &amp; bolts scrap - 0.345, </v>
      </c>
      <c r="H920" s="288"/>
      <c r="I920" s="97"/>
      <c r="J920" s="97"/>
      <c r="K920" s="97"/>
      <c r="L920" s="97"/>
      <c r="M920" s="97"/>
      <c r="N920" s="97"/>
      <c r="O920" s="97"/>
    </row>
    <row r="921" spans="1:15" ht="15" customHeight="1">
      <c r="A921" s="299"/>
      <c r="B921" s="299"/>
      <c r="C921" s="300"/>
      <c r="D921" s="80" t="s">
        <v>442</v>
      </c>
      <c r="E921" s="57">
        <v>0.078</v>
      </c>
      <c r="F921" s="191"/>
      <c r="G921" s="91" t="str">
        <f t="shared" si="5"/>
        <v>Cast Iron Scrap - 0.078, </v>
      </c>
      <c r="H921" s="288"/>
      <c r="I921" s="97"/>
      <c r="J921" s="97"/>
      <c r="K921" s="97"/>
      <c r="L921" s="97"/>
      <c r="M921" s="97"/>
      <c r="N921" s="97"/>
      <c r="O921" s="97"/>
    </row>
    <row r="922" spans="1:15" ht="15" customHeight="1">
      <c r="A922" s="299"/>
      <c r="B922" s="299"/>
      <c r="C922" s="300"/>
      <c r="D922" s="80" t="s">
        <v>60</v>
      </c>
      <c r="E922" s="57">
        <v>1.879</v>
      </c>
      <c r="F922" s="191"/>
      <c r="G922" s="91" t="str">
        <f t="shared" si="5"/>
        <v>Transformer body scrap - 1.879, </v>
      </c>
      <c r="H922" s="288"/>
      <c r="I922" s="97"/>
      <c r="J922" s="97"/>
      <c r="K922" s="97"/>
      <c r="L922" s="97"/>
      <c r="M922" s="97"/>
      <c r="N922" s="97"/>
      <c r="O922" s="97"/>
    </row>
    <row r="923" spans="1:15" ht="15" customHeight="1">
      <c r="A923" s="299"/>
      <c r="B923" s="299"/>
      <c r="C923" s="300"/>
      <c r="D923" s="80" t="s">
        <v>64</v>
      </c>
      <c r="E923" s="57">
        <v>1.09</v>
      </c>
      <c r="F923" s="191"/>
      <c r="G923" s="91" t="str">
        <f t="shared" si="5"/>
        <v>Teen Patra scrap - 1.09, </v>
      </c>
      <c r="H923" s="288"/>
      <c r="I923" s="97" t="e">
        <f ca="1">IF(G921&gt;=6,(MID(H923,1,1)&amp;MID(H923,2,3)+1),CELL("address",Z923))</f>
        <v>#VALUE!</v>
      </c>
      <c r="J923" s="97" t="e">
        <f ca="1">IF(G921&gt;=7,(MID(I923,1,1)&amp;MID(I923,2,3)+1),CELL("address",AA923))</f>
        <v>#VALUE!</v>
      </c>
      <c r="K923" s="97" t="e">
        <f ca="1">IF(G921&gt;=8,(MID(J923,1,1)&amp;MID(J923,2,3)+1),CELL("address",AB923))</f>
        <v>#VALUE!</v>
      </c>
      <c r="L923" s="97" t="e">
        <f ca="1">IF(G921&gt;=9,(MID(K923,1,1)&amp;MID(K923,2,3)+1),CELL("address",AC923))</f>
        <v>#VALUE!</v>
      </c>
      <c r="M923" s="97" t="e">
        <f ca="1">IF(G921&gt;=10,(MID(L923,1,1)&amp;MID(L923,2,3)+1),CELL("address",AD923))</f>
        <v>#VALUE!</v>
      </c>
      <c r="N923" s="97" t="e">
        <f ca="1">IF(G921&gt;=11,(MID(M923,1,1)&amp;MID(M923,2,3)+1),CELL("address",AE923))</f>
        <v>#VALUE!</v>
      </c>
      <c r="O923" s="97" t="e">
        <f ca="1">IF(G921&gt;=12,(MID(N923,1,1)&amp;MID(N923,2,3)+1),CELL("address",AF923))</f>
        <v>#VALUE!</v>
      </c>
    </row>
    <row r="924" spans="1:15" ht="15" customHeight="1">
      <c r="A924" s="299"/>
      <c r="B924" s="299"/>
      <c r="C924" s="300"/>
      <c r="D924" s="80" t="s">
        <v>192</v>
      </c>
      <c r="E924" s="57">
        <v>0.226</v>
      </c>
      <c r="F924" s="191"/>
      <c r="G924" s="91" t="str">
        <f t="shared" si="5"/>
        <v>G.I. scrap - 0.226, </v>
      </c>
      <c r="H924" s="288"/>
      <c r="I924" s="97"/>
      <c r="J924" s="97"/>
      <c r="K924" s="97"/>
      <c r="L924" s="97"/>
      <c r="M924" s="97"/>
      <c r="N924" s="97"/>
      <c r="O924" s="97"/>
    </row>
    <row r="925" spans="1:15" ht="15" customHeight="1">
      <c r="A925" s="299"/>
      <c r="B925" s="299"/>
      <c r="C925" s="300"/>
      <c r="D925" s="80" t="s">
        <v>397</v>
      </c>
      <c r="E925" s="57">
        <v>0.019</v>
      </c>
      <c r="F925" s="191"/>
      <c r="G925" s="91" t="str">
        <f t="shared" si="5"/>
        <v>G.I. Wire/GSL scrap - 0.019, </v>
      </c>
      <c r="H925" s="288"/>
      <c r="I925" s="97"/>
      <c r="J925" s="97"/>
      <c r="K925" s="97"/>
      <c r="L925" s="97"/>
      <c r="M925" s="97"/>
      <c r="N925" s="97"/>
      <c r="O925" s="97"/>
    </row>
    <row r="926" spans="1:15" ht="15" customHeight="1">
      <c r="A926" s="38"/>
      <c r="B926" s="41"/>
      <c r="C926" s="250"/>
      <c r="D926" s="80"/>
      <c r="E926" s="57"/>
      <c r="F926" s="97"/>
      <c r="G926" s="288"/>
      <c r="H926" s="288"/>
      <c r="I926" s="97"/>
      <c r="J926" s="97"/>
      <c r="K926" s="97"/>
      <c r="L926" s="97"/>
      <c r="M926" s="97"/>
      <c r="N926" s="97"/>
      <c r="O926" s="97"/>
    </row>
    <row r="927" spans="1:15" ht="15" customHeight="1">
      <c r="A927" s="310"/>
      <c r="B927" s="311"/>
      <c r="C927" s="39"/>
      <c r="D927" s="55"/>
      <c r="E927" s="51">
        <f>SUM(E929:E932)</f>
        <v>11.938</v>
      </c>
      <c r="F927" s="97"/>
      <c r="G927" s="288"/>
      <c r="H927" s="288"/>
      <c r="I927" s="97"/>
      <c r="J927" s="97"/>
      <c r="K927" s="97"/>
      <c r="L927" s="97"/>
      <c r="M927" s="97"/>
      <c r="N927" s="97"/>
      <c r="O927" s="97"/>
    </row>
    <row r="928" spans="1:18" ht="15" customHeight="1">
      <c r="A928" s="299" t="s">
        <v>5</v>
      </c>
      <c r="B928" s="299"/>
      <c r="C928" s="39" t="s">
        <v>17</v>
      </c>
      <c r="D928" s="207" t="s">
        <v>18</v>
      </c>
      <c r="E928" s="38" t="s">
        <v>7</v>
      </c>
      <c r="F928" s="97"/>
      <c r="G928" s="92" t="str">
        <f>CONCATENATE("Misc. Iron Scrap, Lying at ",C929,". Quantity in MT - ")</f>
        <v>Misc. Iron Scrap, Lying at OL Malerkotla. Quantity in MT - </v>
      </c>
      <c r="H928" s="297" t="str">
        <f ca="1">CONCATENATE(G928,G929,(INDIRECT(I929)),(INDIRECT(J929)),(INDIRECT(K929)),(INDIRECT(L929)),(INDIRECT(M929)),(INDIRECT(N929)),(INDIRECT(O929)),(INDIRECT(P929)),(INDIRECT(Q929)),(INDIRECT(R929)),".")</f>
        <v>Misc. Iron Scrap, Lying at OL Malerkotla. Quantity in MT - MS iron scrap - 6.273, Transformer body scrap - 4.902, MS Rail scrap - 0.691, M.S. Nuts &amp; Bolts Scrap - 0.072, .</v>
      </c>
      <c r="I928" s="97" t="str">
        <f aca="true" ca="1" t="array" ref="I928">CELL("address",INDEX(G928:G946,MATCH(TRUE,ISBLANK(G928:G946),0)))</f>
        <v>$G$933</v>
      </c>
      <c r="J928" s="97">
        <f aca="true" t="array" ref="J928">MATCH(TRUE,ISBLANK(G928:G946),0)</f>
        <v>6</v>
      </c>
      <c r="K928" s="97">
        <f>J928-3</f>
        <v>3</v>
      </c>
      <c r="L928" s="97"/>
      <c r="M928" s="97"/>
      <c r="N928" s="97"/>
      <c r="O928" s="97"/>
      <c r="P928" s="97"/>
      <c r="Q928" s="97"/>
      <c r="R928" s="97"/>
    </row>
    <row r="929" spans="1:18" ht="15" customHeight="1">
      <c r="A929" s="299" t="s">
        <v>191</v>
      </c>
      <c r="B929" s="299"/>
      <c r="C929" s="300" t="s">
        <v>126</v>
      </c>
      <c r="D929" s="41" t="s">
        <v>29</v>
      </c>
      <c r="E929" s="68">
        <v>6.273</v>
      </c>
      <c r="F929" s="97"/>
      <c r="G929" s="91" t="str">
        <f>CONCATENATE(D929," - ",E929,", ")</f>
        <v>MS iron scrap - 6.273, </v>
      </c>
      <c r="H929" s="297"/>
      <c r="I929" s="97" t="str">
        <f ca="1">IF(J928&gt;=3,(MID(I928,2,1)&amp;MID(I928,4,3)-K928),CELL("address",Z929))</f>
        <v>G930</v>
      </c>
      <c r="J929" s="97" t="str">
        <f ca="1">IF(J928&gt;=4,(MID(I929,1,1)&amp;MID(I929,2,3)+1),CELL("address",AA929))</f>
        <v>G931</v>
      </c>
      <c r="K929" s="97" t="str">
        <f ca="1">IF(J928&gt;=5,(MID(J929,1,1)&amp;MID(J929,2,3)+1),CELL("address",AB929))</f>
        <v>G932</v>
      </c>
      <c r="L929" s="97" t="str">
        <f ca="1">IF(J928&gt;=6,(MID(K929,1,1)&amp;MID(K929,2,3)+1),CELL("address",AC929))</f>
        <v>G933</v>
      </c>
      <c r="M929" s="97" t="str">
        <f ca="1">IF(J928&gt;=7,(MID(L929,1,1)&amp;MID(L929,2,3)+1),CELL("address",AD929))</f>
        <v>$AD$929</v>
      </c>
      <c r="N929" s="97" t="str">
        <f ca="1">IF(J928&gt;=8,(MID(M929,1,1)&amp;MID(M929,2,3)+1),CELL("address",AE929))</f>
        <v>$AE$929</v>
      </c>
      <c r="O929" s="97" t="str">
        <f ca="1">IF(J928&gt;=9,(MID(N929,1,1)&amp;MID(N929,2,3)+1),CELL("address",AF929))</f>
        <v>$AF$929</v>
      </c>
      <c r="P929" s="97" t="str">
        <f ca="1">IF(J928&gt;=10,(MID(O929,1,1)&amp;MID(O929,2,3)+1),CELL("address",AG929))</f>
        <v>$AG$929</v>
      </c>
      <c r="Q929" s="97" t="str">
        <f ca="1">IF(J928&gt;=11,(MID(P929,1,1)&amp;MID(P929,2,3)+1),CELL("address",AH929))</f>
        <v>$AH$929</v>
      </c>
      <c r="R929" s="97" t="str">
        <f ca="1">IF(J928&gt;=12,(MID(Q929,1,1)&amp;MID(Q929,2,3)+1),CELL("address",AI929))</f>
        <v>$AI$929</v>
      </c>
    </row>
    <row r="930" spans="1:15" ht="15" customHeight="1">
      <c r="A930" s="299"/>
      <c r="B930" s="299"/>
      <c r="C930" s="300"/>
      <c r="D930" s="80" t="s">
        <v>60</v>
      </c>
      <c r="E930" s="68">
        <v>4.902</v>
      </c>
      <c r="F930" s="97"/>
      <c r="G930" s="91" t="str">
        <f>CONCATENATE(D930," - ",E930,", ")</f>
        <v>Transformer body scrap - 4.902, </v>
      </c>
      <c r="H930" s="288"/>
      <c r="I930" s="97" t="e">
        <f ca="1">IF(G928&gt;=6,(MID(H930,1,1)&amp;MID(H930,2,3)+1),CELL("address",Z930))</f>
        <v>#VALUE!</v>
      </c>
      <c r="J930" s="97" t="e">
        <f ca="1">IF(G928&gt;=7,(MID(I930,1,1)&amp;MID(I930,2,3)+1),CELL("address",AA930))</f>
        <v>#VALUE!</v>
      </c>
      <c r="K930" s="97" t="e">
        <f ca="1">IF(G928&gt;=8,(MID(J930,1,1)&amp;MID(J930,2,3)+1),CELL("address",AB930))</f>
        <v>#VALUE!</v>
      </c>
      <c r="L930" s="97" t="e">
        <f ca="1">IF(G928&gt;=9,(MID(K930,1,1)&amp;MID(K930,2,3)+1),CELL("address",AC930))</f>
        <v>#VALUE!</v>
      </c>
      <c r="M930" s="97" t="e">
        <f ca="1">IF(G928&gt;=10,(MID(L930,1,1)&amp;MID(L930,2,3)+1),CELL("address",AD930))</f>
        <v>#VALUE!</v>
      </c>
      <c r="N930" s="97" t="e">
        <f ca="1">IF(G928&gt;=11,(MID(M930,1,1)&amp;MID(M930,2,3)+1),CELL("address",AE930))</f>
        <v>#VALUE!</v>
      </c>
      <c r="O930" s="97" t="e">
        <f ca="1">IF(G928&gt;=12,(MID(N930,1,1)&amp;MID(N930,2,3)+1),CELL("address",AF930))</f>
        <v>#VALUE!</v>
      </c>
    </row>
    <row r="931" spans="1:15" ht="15" customHeight="1">
      <c r="A931" s="299"/>
      <c r="B931" s="299"/>
      <c r="C931" s="300"/>
      <c r="D931" s="41" t="s">
        <v>61</v>
      </c>
      <c r="E931" s="57">
        <v>0.691</v>
      </c>
      <c r="F931" s="97"/>
      <c r="G931" s="91" t="str">
        <f>CONCATENATE(D931," - ",E931,", ")</f>
        <v>MS Rail scrap - 0.691, </v>
      </c>
      <c r="H931" s="288"/>
      <c r="I931" s="97"/>
      <c r="J931" s="97"/>
      <c r="K931" s="97"/>
      <c r="L931" s="97"/>
      <c r="M931" s="97"/>
      <c r="N931" s="97"/>
      <c r="O931" s="97"/>
    </row>
    <row r="932" spans="1:15" ht="15" customHeight="1">
      <c r="A932" s="299"/>
      <c r="B932" s="299"/>
      <c r="C932" s="300"/>
      <c r="D932" s="80" t="s">
        <v>198</v>
      </c>
      <c r="E932" s="57">
        <v>0.072</v>
      </c>
      <c r="F932" s="97"/>
      <c r="G932" s="91" t="str">
        <f>CONCATENATE(D932," - ",E932,", ")</f>
        <v>M.S. Nuts &amp; Bolts Scrap - 0.072, </v>
      </c>
      <c r="H932" s="288"/>
      <c r="I932" s="97"/>
      <c r="J932" s="97"/>
      <c r="K932" s="97"/>
      <c r="L932" s="97"/>
      <c r="M932" s="97"/>
      <c r="N932" s="97"/>
      <c r="O932" s="97"/>
    </row>
    <row r="933" spans="1:15" ht="15" customHeight="1">
      <c r="A933" s="38"/>
      <c r="B933" s="40"/>
      <c r="C933" s="47"/>
      <c r="D933" s="37"/>
      <c r="E933" s="175"/>
      <c r="F933" s="97"/>
      <c r="G933" s="288"/>
      <c r="H933" s="288"/>
      <c r="I933" s="97"/>
      <c r="J933" s="97"/>
      <c r="K933" s="97"/>
      <c r="L933" s="97"/>
      <c r="M933" s="97"/>
      <c r="N933" s="97"/>
      <c r="O933" s="97"/>
    </row>
    <row r="934" spans="1:15" ht="15" customHeight="1">
      <c r="A934" s="52"/>
      <c r="B934" s="53"/>
      <c r="C934" s="53"/>
      <c r="D934" s="54"/>
      <c r="E934" s="160">
        <f>SUM(E936:E939)</f>
        <v>4.8100000000000005</v>
      </c>
      <c r="F934" s="97"/>
      <c r="G934" s="288"/>
      <c r="H934" s="288"/>
      <c r="I934" s="97"/>
      <c r="J934" s="97"/>
      <c r="K934" s="97"/>
      <c r="L934" s="97"/>
      <c r="M934" s="97"/>
      <c r="N934" s="97"/>
      <c r="O934" s="97"/>
    </row>
    <row r="935" spans="1:18" ht="15" customHeight="1">
      <c r="A935" s="299" t="s">
        <v>5</v>
      </c>
      <c r="B935" s="299"/>
      <c r="C935" s="39" t="s">
        <v>17</v>
      </c>
      <c r="D935" s="207" t="s">
        <v>18</v>
      </c>
      <c r="E935" s="38" t="s">
        <v>7</v>
      </c>
      <c r="F935" s="97"/>
      <c r="G935" s="92" t="str">
        <f>CONCATENATE("Misc. Iron Scrap, Lying at ",C936,". Quantity in MT - ")</f>
        <v>Misc. Iron Scrap, Lying at CS Malout. Quantity in MT - </v>
      </c>
      <c r="H935" s="297" t="str">
        <f ca="1">CONCATENATE(G935,G936,(INDIRECT(I936)),(INDIRECT(J936)),(INDIRECT(K936)),(INDIRECT(L936)),(INDIRECT(M936)),(INDIRECT(N936)),(INDIRECT(O936)),(INDIRECT(P936)),(INDIRECT(Q936)),(INDIRECT(R936)),".")</f>
        <v>Misc. Iron Scrap, Lying at CS Malout. Quantity in MT - MS iron scrap - 4.729, M.S. Nuts &amp; Bolts Scrap - 0.025, G.I. Scrap - 0.027, G.I. Wire/GSL scrap - 0.029, .</v>
      </c>
      <c r="I935" s="97" t="str">
        <f aca="true" ca="1" t="array" ref="I935">CELL("address",INDEX(G935:G953,MATCH(TRUE,ISBLANK(G935:G953),0)))</f>
        <v>$G$940</v>
      </c>
      <c r="J935" s="97">
        <f aca="true" t="array" ref="J935">MATCH(TRUE,ISBLANK(G935:G953),0)</f>
        <v>6</v>
      </c>
      <c r="K935" s="97">
        <f>J935-3</f>
        <v>3</v>
      </c>
      <c r="L935" s="97"/>
      <c r="M935" s="97"/>
      <c r="N935" s="97"/>
      <c r="O935" s="97"/>
      <c r="P935" s="97"/>
      <c r="Q935" s="97"/>
      <c r="R935" s="97"/>
    </row>
    <row r="936" spans="1:18" ht="15" customHeight="1">
      <c r="A936" s="299" t="s">
        <v>396</v>
      </c>
      <c r="B936" s="299"/>
      <c r="C936" s="300" t="s">
        <v>95</v>
      </c>
      <c r="D936" s="41" t="s">
        <v>29</v>
      </c>
      <c r="E936" s="68">
        <v>4.729</v>
      </c>
      <c r="F936" s="97"/>
      <c r="G936" s="91" t="str">
        <f>CONCATENATE(D936," - ",E936,", ")</f>
        <v>MS iron scrap - 4.729, </v>
      </c>
      <c r="H936" s="297"/>
      <c r="I936" s="97" t="str">
        <f ca="1">IF(J935&gt;=3,(MID(I935,2,1)&amp;MID(I935,4,3)-K935),CELL("address",Z936))</f>
        <v>G937</v>
      </c>
      <c r="J936" s="97" t="str">
        <f ca="1">IF(J935&gt;=4,(MID(I936,1,1)&amp;MID(I936,2,3)+1),CELL("address",AA936))</f>
        <v>G938</v>
      </c>
      <c r="K936" s="97" t="str">
        <f ca="1">IF(J935&gt;=5,(MID(J936,1,1)&amp;MID(J936,2,3)+1),CELL("address",AB936))</f>
        <v>G939</v>
      </c>
      <c r="L936" s="97" t="str">
        <f ca="1">IF(J935&gt;=6,(MID(K936,1,1)&amp;MID(K936,2,3)+1),CELL("address",AC936))</f>
        <v>G940</v>
      </c>
      <c r="M936" s="97" t="str">
        <f ca="1">IF(J935&gt;=7,(MID(L936,1,1)&amp;MID(L936,2,3)+1),CELL("address",AD936))</f>
        <v>$AD$936</v>
      </c>
      <c r="N936" s="97" t="str">
        <f ca="1">IF(J935&gt;=8,(MID(M936,1,1)&amp;MID(M936,2,3)+1),CELL("address",AE936))</f>
        <v>$AE$936</v>
      </c>
      <c r="O936" s="97" t="str">
        <f ca="1">IF(J935&gt;=9,(MID(N936,1,1)&amp;MID(N936,2,3)+1),CELL("address",AF936))</f>
        <v>$AF$936</v>
      </c>
      <c r="P936" s="97" t="str">
        <f ca="1">IF(J935&gt;=10,(MID(O936,1,1)&amp;MID(O936,2,3)+1),CELL("address",AG936))</f>
        <v>$AG$936</v>
      </c>
      <c r="Q936" s="97" t="str">
        <f ca="1">IF(J935&gt;=11,(MID(P936,1,1)&amp;MID(P936,2,3)+1),CELL("address",AH936))</f>
        <v>$AH$936</v>
      </c>
      <c r="R936" s="97" t="str">
        <f ca="1">IF(J935&gt;=12,(MID(Q936,1,1)&amp;MID(Q936,2,3)+1),CELL("address",AI936))</f>
        <v>$AI$936</v>
      </c>
    </row>
    <row r="937" spans="1:15" ht="15" customHeight="1">
      <c r="A937" s="299"/>
      <c r="B937" s="299"/>
      <c r="C937" s="300"/>
      <c r="D937" s="80" t="s">
        <v>198</v>
      </c>
      <c r="E937" s="68">
        <v>0.025</v>
      </c>
      <c r="F937" s="97"/>
      <c r="G937" s="91" t="str">
        <f>CONCATENATE(D937," - ",E937,", ")</f>
        <v>M.S. Nuts &amp; Bolts Scrap - 0.025, </v>
      </c>
      <c r="H937" s="288"/>
      <c r="I937" s="97"/>
      <c r="J937" s="97"/>
      <c r="K937" s="97"/>
      <c r="L937" s="97"/>
      <c r="M937" s="97"/>
      <c r="N937" s="97"/>
      <c r="O937" s="97"/>
    </row>
    <row r="938" spans="1:15" ht="15" customHeight="1">
      <c r="A938" s="299"/>
      <c r="B938" s="299"/>
      <c r="C938" s="300"/>
      <c r="D938" s="80" t="s">
        <v>197</v>
      </c>
      <c r="E938" s="57">
        <v>0.027</v>
      </c>
      <c r="F938" s="97"/>
      <c r="G938" s="91" t="str">
        <f>CONCATENATE(D938," - ",E938,", ")</f>
        <v>G.I. Scrap - 0.027, </v>
      </c>
      <c r="H938" s="288"/>
      <c r="I938" s="97"/>
      <c r="J938" s="97"/>
      <c r="K938" s="97"/>
      <c r="L938" s="97"/>
      <c r="M938" s="97"/>
      <c r="N938" s="97"/>
      <c r="O938" s="97"/>
    </row>
    <row r="939" spans="1:15" ht="15" customHeight="1">
      <c r="A939" s="299"/>
      <c r="B939" s="299"/>
      <c r="C939" s="300"/>
      <c r="D939" s="44" t="s">
        <v>397</v>
      </c>
      <c r="E939" s="57">
        <v>0.029</v>
      </c>
      <c r="F939" s="97"/>
      <c r="G939" s="91" t="str">
        <f>CONCATENATE(D939," - ",E939,", ")</f>
        <v>G.I. Wire/GSL scrap - 0.029, </v>
      </c>
      <c r="H939" s="288"/>
      <c r="I939" s="97"/>
      <c r="J939" s="97"/>
      <c r="K939" s="97"/>
      <c r="L939" s="97"/>
      <c r="M939" s="97"/>
      <c r="N939" s="97"/>
      <c r="O939" s="97"/>
    </row>
    <row r="940" spans="1:15" ht="15" customHeight="1">
      <c r="A940" s="38"/>
      <c r="B940" s="40"/>
      <c r="C940" s="47"/>
      <c r="D940" s="37"/>
      <c r="E940" s="175"/>
      <c r="F940" s="97"/>
      <c r="G940" s="288"/>
      <c r="H940" s="288"/>
      <c r="I940" s="97"/>
      <c r="J940" s="97"/>
      <c r="K940" s="97"/>
      <c r="L940" s="97"/>
      <c r="M940" s="97"/>
      <c r="N940" s="97"/>
      <c r="O940" s="97"/>
    </row>
    <row r="941" spans="1:15" ht="15" customHeight="1">
      <c r="A941" s="52"/>
      <c r="B941" s="53"/>
      <c r="C941" s="53"/>
      <c r="D941" s="54"/>
      <c r="E941" s="160">
        <f>SUM(E943:E946)</f>
        <v>4.393</v>
      </c>
      <c r="F941" s="97"/>
      <c r="G941" s="288"/>
      <c r="H941" s="288"/>
      <c r="I941" s="97"/>
      <c r="J941" s="97"/>
      <c r="K941" s="97"/>
      <c r="L941" s="97"/>
      <c r="M941" s="97"/>
      <c r="N941" s="97"/>
      <c r="O941" s="97"/>
    </row>
    <row r="942" spans="1:18" ht="15" customHeight="1">
      <c r="A942" s="299" t="s">
        <v>5</v>
      </c>
      <c r="B942" s="299"/>
      <c r="C942" s="39" t="s">
        <v>17</v>
      </c>
      <c r="D942" s="207" t="s">
        <v>18</v>
      </c>
      <c r="E942" s="38" t="s">
        <v>7</v>
      </c>
      <c r="F942" s="97"/>
      <c r="G942" s="92" t="str">
        <f>CONCATENATE("Misc. Iron Scrap, Lying at ",C943,". Quantity in MT - ")</f>
        <v>Misc. Iron Scrap, Lying at CS Bathinda. Quantity in MT - </v>
      </c>
      <c r="H942" s="297" t="str">
        <f ca="1">CONCATENATE(G942,G943,(INDIRECT(I943)),(INDIRECT(J943)),(INDIRECT(K943)),(INDIRECT(L943)),(INDIRECT(M943)),(INDIRECT(N943)),(INDIRECT(O943)),(INDIRECT(P943)),(INDIRECT(Q943)),(INDIRECT(R943)),".")</f>
        <v>Misc. Iron Scrap, Lying at CS Bathinda. Quantity in MT - MS iron scrap - 3.518, MS Rail scrap - 0.8, Teen Patra scrap - 0.035, G.I. Scrap - 0.04, .</v>
      </c>
      <c r="I942" s="97" t="str">
        <f aca="true" ca="1" t="array" ref="I942">CELL("address",INDEX(G942:G960,MATCH(TRUE,ISBLANK(G942:G960),0)))</f>
        <v>$G$947</v>
      </c>
      <c r="J942" s="97">
        <f aca="true" t="array" ref="J942">MATCH(TRUE,ISBLANK(G942:G960),0)</f>
        <v>6</v>
      </c>
      <c r="K942" s="97">
        <f>J942-3</f>
        <v>3</v>
      </c>
      <c r="L942" s="97"/>
      <c r="M942" s="97"/>
      <c r="N942" s="97"/>
      <c r="O942" s="97"/>
      <c r="P942" s="97"/>
      <c r="Q942" s="97"/>
      <c r="R942" s="97"/>
    </row>
    <row r="943" spans="1:18" ht="15" customHeight="1">
      <c r="A943" s="299" t="s">
        <v>407</v>
      </c>
      <c r="B943" s="299"/>
      <c r="C943" s="300" t="s">
        <v>63</v>
      </c>
      <c r="D943" s="41" t="s">
        <v>29</v>
      </c>
      <c r="E943" s="68">
        <v>3.518</v>
      </c>
      <c r="F943" s="97"/>
      <c r="G943" s="91" t="str">
        <f>CONCATENATE(D943," - ",E943,", ")</f>
        <v>MS iron scrap - 3.518, </v>
      </c>
      <c r="H943" s="297"/>
      <c r="I943" s="97" t="str">
        <f ca="1">IF(J942&gt;=3,(MID(I942,2,1)&amp;MID(I942,4,3)-K942),CELL("address",Z943))</f>
        <v>G944</v>
      </c>
      <c r="J943" s="97" t="str">
        <f ca="1">IF(J942&gt;=4,(MID(I943,1,1)&amp;MID(I943,2,3)+1),CELL("address",AA943))</f>
        <v>G945</v>
      </c>
      <c r="K943" s="97" t="str">
        <f ca="1">IF(J942&gt;=5,(MID(J943,1,1)&amp;MID(J943,2,3)+1),CELL("address",AB943))</f>
        <v>G946</v>
      </c>
      <c r="L943" s="97" t="str">
        <f ca="1">IF(J942&gt;=6,(MID(K943,1,1)&amp;MID(K943,2,3)+1),CELL("address",AC943))</f>
        <v>G947</v>
      </c>
      <c r="M943" s="97" t="str">
        <f ca="1">IF(J942&gt;=7,(MID(L943,1,1)&amp;MID(L943,2,3)+1),CELL("address",AD943))</f>
        <v>$AD$943</v>
      </c>
      <c r="N943" s="97" t="str">
        <f ca="1">IF(J942&gt;=8,(MID(M943,1,1)&amp;MID(M943,2,3)+1),CELL("address",AE943))</f>
        <v>$AE$943</v>
      </c>
      <c r="O943" s="97" t="str">
        <f ca="1">IF(J942&gt;=9,(MID(N943,1,1)&amp;MID(N943,2,3)+1),CELL("address",AF943))</f>
        <v>$AF$943</v>
      </c>
      <c r="P943" s="97" t="str">
        <f ca="1">IF(J942&gt;=10,(MID(O943,1,1)&amp;MID(O943,2,3)+1),CELL("address",AG943))</f>
        <v>$AG$943</v>
      </c>
      <c r="Q943" s="97" t="str">
        <f ca="1">IF(J942&gt;=11,(MID(P943,1,1)&amp;MID(P943,2,3)+1),CELL("address",AH943))</f>
        <v>$AH$943</v>
      </c>
      <c r="R943" s="97" t="str">
        <f ca="1">IF(J942&gt;=12,(MID(Q943,1,1)&amp;MID(Q943,2,3)+1),CELL("address",AI943))</f>
        <v>$AI$943</v>
      </c>
    </row>
    <row r="944" spans="1:15" ht="15" customHeight="1">
      <c r="A944" s="299"/>
      <c r="B944" s="299"/>
      <c r="C944" s="300"/>
      <c r="D944" s="41" t="s">
        <v>61</v>
      </c>
      <c r="E944" s="68">
        <v>0.8</v>
      </c>
      <c r="F944" s="97"/>
      <c r="G944" s="91" t="str">
        <f>CONCATENATE(D944," - ",E944,", ")</f>
        <v>MS Rail scrap - 0.8, </v>
      </c>
      <c r="H944" s="288"/>
      <c r="I944" s="97" t="e">
        <f ca="1">IF(G942&gt;=6,(MID(H944,1,1)&amp;MID(H944,2,3)+1),CELL("address",Z944))</f>
        <v>#VALUE!</v>
      </c>
      <c r="J944" s="97" t="e">
        <f ca="1">IF(G942&gt;=7,(MID(I944,1,1)&amp;MID(I944,2,3)+1),CELL("address",AA944))</f>
        <v>#VALUE!</v>
      </c>
      <c r="K944" s="97" t="e">
        <f ca="1">IF(G942&gt;=8,(MID(J944,1,1)&amp;MID(J944,2,3)+1),CELL("address",AB944))</f>
        <v>#VALUE!</v>
      </c>
      <c r="L944" s="97" t="e">
        <f ca="1">IF(G942&gt;=9,(MID(K944,1,1)&amp;MID(K944,2,3)+1),CELL("address",AC944))</f>
        <v>#VALUE!</v>
      </c>
      <c r="M944" s="97" t="e">
        <f ca="1">IF(G942&gt;=10,(MID(L944,1,1)&amp;MID(L944,2,3)+1),CELL("address",AD944))</f>
        <v>#VALUE!</v>
      </c>
      <c r="N944" s="97" t="e">
        <f ca="1">IF(G942&gt;=11,(MID(M944,1,1)&amp;MID(M944,2,3)+1),CELL("address",AE944))</f>
        <v>#VALUE!</v>
      </c>
      <c r="O944" s="97" t="e">
        <f ca="1">IF(G942&gt;=12,(MID(N944,1,1)&amp;MID(N944,2,3)+1),CELL("address",AF944))</f>
        <v>#VALUE!</v>
      </c>
    </row>
    <row r="945" spans="1:15" ht="15" customHeight="1">
      <c r="A945" s="299"/>
      <c r="B945" s="299"/>
      <c r="C945" s="300"/>
      <c r="D945" s="44" t="s">
        <v>64</v>
      </c>
      <c r="E945" s="57">
        <v>0.035</v>
      </c>
      <c r="F945" s="97"/>
      <c r="G945" s="91" t="str">
        <f>CONCATENATE(D945," - ",E945,", ")</f>
        <v>Teen Patra scrap - 0.035, </v>
      </c>
      <c r="H945" s="288"/>
      <c r="I945" s="97"/>
      <c r="J945" s="97"/>
      <c r="K945" s="97"/>
      <c r="L945" s="97"/>
      <c r="M945" s="97"/>
      <c r="N945" s="97"/>
      <c r="O945" s="97"/>
    </row>
    <row r="946" spans="1:15" ht="15" customHeight="1">
      <c r="A946" s="299"/>
      <c r="B946" s="299"/>
      <c r="C946" s="300"/>
      <c r="D946" s="80" t="s">
        <v>197</v>
      </c>
      <c r="E946" s="57">
        <v>0.04</v>
      </c>
      <c r="F946" s="97"/>
      <c r="G946" s="91" t="str">
        <f>CONCATENATE(D946," - ",E946,", ")</f>
        <v>G.I. Scrap - 0.04, </v>
      </c>
      <c r="H946" s="288"/>
      <c r="I946" s="97"/>
      <c r="J946" s="97"/>
      <c r="K946" s="97"/>
      <c r="L946" s="97"/>
      <c r="M946" s="97"/>
      <c r="N946" s="97"/>
      <c r="O946" s="97"/>
    </row>
    <row r="947" spans="1:15" ht="15" customHeight="1">
      <c r="A947" s="38"/>
      <c r="B947" s="40"/>
      <c r="C947" s="47"/>
      <c r="D947" s="37"/>
      <c r="E947" s="175"/>
      <c r="F947" s="97"/>
      <c r="G947" s="288"/>
      <c r="H947" s="288"/>
      <c r="I947" s="97"/>
      <c r="J947" s="97"/>
      <c r="K947" s="97"/>
      <c r="L947" s="97"/>
      <c r="M947" s="97"/>
      <c r="N947" s="97"/>
      <c r="O947" s="97"/>
    </row>
    <row r="948" spans="1:15" ht="15" customHeight="1">
      <c r="A948" s="52"/>
      <c r="B948" s="53"/>
      <c r="C948" s="53"/>
      <c r="D948" s="55"/>
      <c r="E948" s="51">
        <f>SUM(E950:E952)</f>
        <v>2.716</v>
      </c>
      <c r="F948" s="97"/>
      <c r="G948" s="288"/>
      <c r="H948" s="288"/>
      <c r="I948" s="97"/>
      <c r="J948" s="97"/>
      <c r="K948" s="97"/>
      <c r="L948" s="97"/>
      <c r="M948" s="97"/>
      <c r="N948" s="97"/>
      <c r="O948" s="97"/>
    </row>
    <row r="949" spans="1:18" ht="15" customHeight="1">
      <c r="A949" s="379" t="s">
        <v>5</v>
      </c>
      <c r="B949" s="379"/>
      <c r="C949" s="22" t="s">
        <v>17</v>
      </c>
      <c r="D949" s="71" t="s">
        <v>18</v>
      </c>
      <c r="E949" s="22" t="s">
        <v>7</v>
      </c>
      <c r="F949" s="97"/>
      <c r="G949" s="92" t="str">
        <f>CONCATENATE("Misc. Iron Scrap, Lying at ",C950,". Quantity in MT - ")</f>
        <v>Misc. Iron Scrap, Lying at OL Moga. Quantity in MT - </v>
      </c>
      <c r="H949" s="297" t="str">
        <f ca="1">CONCATENATE(G949,G950,(INDIRECT(I950)),(INDIRECT(J950)),(INDIRECT(K950)),(INDIRECT(L950)),(INDIRECT(M950)),(INDIRECT(N950)),(INDIRECT(O950)),(INDIRECT(P950)),(INDIRECT(Q950)),(INDIRECT(R950)),".")</f>
        <v>Misc. Iron Scrap, Lying at OL Moga. Quantity in MT - MS iron scrap - 1.893, Transformer body scrap - 0.315, MS Rail scrap - 0.508, .</v>
      </c>
      <c r="I949" s="97" t="str">
        <f aca="true" ca="1" t="array" ref="I949">CELL("address",INDEX(G949:G967,MATCH(TRUE,ISBLANK(G949:G967),0)))</f>
        <v>$G$953</v>
      </c>
      <c r="J949" s="97">
        <f aca="true" t="array" ref="J949">MATCH(TRUE,ISBLANK(G949:G967),0)</f>
        <v>5</v>
      </c>
      <c r="K949" s="97">
        <f>J949-3</f>
        <v>2</v>
      </c>
      <c r="L949" s="97"/>
      <c r="M949" s="97"/>
      <c r="N949" s="97"/>
      <c r="O949" s="97"/>
      <c r="P949" s="97"/>
      <c r="Q949" s="97"/>
      <c r="R949" s="97"/>
    </row>
    <row r="950" spans="1:18" ht="15" customHeight="1">
      <c r="A950" s="299" t="s">
        <v>408</v>
      </c>
      <c r="B950" s="299"/>
      <c r="C950" s="300" t="s">
        <v>267</v>
      </c>
      <c r="D950" s="41" t="s">
        <v>29</v>
      </c>
      <c r="E950" s="45">
        <v>1.893</v>
      </c>
      <c r="F950" s="97"/>
      <c r="G950" s="91" t="str">
        <f>CONCATENATE(D950," - ",E950,", ")</f>
        <v>MS iron scrap - 1.893, </v>
      </c>
      <c r="H950" s="297"/>
      <c r="I950" s="97" t="str">
        <f ca="1">IF(J949&gt;=3,(MID(I949,2,1)&amp;MID(I949,4,3)-K949),CELL("address",Z950))</f>
        <v>G951</v>
      </c>
      <c r="J950" s="97" t="str">
        <f ca="1">IF(J949&gt;=4,(MID(I950,1,1)&amp;MID(I950,2,3)+1),CELL("address",AA950))</f>
        <v>G952</v>
      </c>
      <c r="K950" s="97" t="str">
        <f ca="1">IF(J949&gt;=5,(MID(J950,1,1)&amp;MID(J950,2,3)+1),CELL("address",AB950))</f>
        <v>G953</v>
      </c>
      <c r="L950" s="97" t="str">
        <f ca="1">IF(J949&gt;=6,(MID(K950,1,1)&amp;MID(K950,2,3)+1),CELL("address",AC950))</f>
        <v>$AC$950</v>
      </c>
      <c r="M950" s="97" t="str">
        <f ca="1">IF(J949&gt;=7,(MID(L950,1,1)&amp;MID(L950,2,3)+1),CELL("address",AD950))</f>
        <v>$AD$950</v>
      </c>
      <c r="N950" s="97" t="str">
        <f ca="1">IF(J949&gt;=8,(MID(M950,1,1)&amp;MID(M950,2,3)+1),CELL("address",AE950))</f>
        <v>$AE$950</v>
      </c>
      <c r="O950" s="97" t="str">
        <f ca="1">IF(J949&gt;=9,(MID(N950,1,1)&amp;MID(N950,2,3)+1),CELL("address",AF950))</f>
        <v>$AF$950</v>
      </c>
      <c r="P950" s="97" t="str">
        <f ca="1">IF(J949&gt;=10,(MID(O950,1,1)&amp;MID(O950,2,3)+1),CELL("address",AG950))</f>
        <v>$AG$950</v>
      </c>
      <c r="Q950" s="97" t="str">
        <f ca="1">IF(J949&gt;=11,(MID(P950,1,1)&amp;MID(P950,2,3)+1),CELL("address",AH950))</f>
        <v>$AH$950</v>
      </c>
      <c r="R950" s="97" t="str">
        <f ca="1">IF(J949&gt;=12,(MID(Q950,1,1)&amp;MID(Q950,2,3)+1),CELL("address",AI950))</f>
        <v>$AI$950</v>
      </c>
    </row>
    <row r="951" spans="1:15" ht="15" customHeight="1">
      <c r="A951" s="299"/>
      <c r="B951" s="299"/>
      <c r="C951" s="300"/>
      <c r="D951" s="80" t="s">
        <v>60</v>
      </c>
      <c r="E951" s="45">
        <v>0.315</v>
      </c>
      <c r="F951" s="191"/>
      <c r="G951" s="91" t="str">
        <f>CONCATENATE(D951," - ",E951,", ")</f>
        <v>Transformer body scrap - 0.315, </v>
      </c>
      <c r="H951" s="288"/>
      <c r="I951" s="97"/>
      <c r="J951" s="97"/>
      <c r="K951" s="97"/>
      <c r="L951" s="97"/>
      <c r="M951" s="97"/>
      <c r="N951" s="97"/>
      <c r="O951" s="97"/>
    </row>
    <row r="952" spans="1:15" ht="15" customHeight="1">
      <c r="A952" s="299"/>
      <c r="B952" s="299"/>
      <c r="C952" s="300"/>
      <c r="D952" s="41" t="s">
        <v>61</v>
      </c>
      <c r="E952" s="57">
        <v>0.508</v>
      </c>
      <c r="F952" s="97"/>
      <c r="G952" s="91" t="str">
        <f>CONCATENATE(D952," - ",E952,", ")</f>
        <v>MS Rail scrap - 0.508, </v>
      </c>
      <c r="H952" s="288"/>
      <c r="I952" s="97"/>
      <c r="J952" s="97"/>
      <c r="K952" s="97"/>
      <c r="L952" s="97"/>
      <c r="M952" s="97"/>
      <c r="N952" s="97"/>
      <c r="O952" s="97"/>
    </row>
    <row r="953" spans="1:15" ht="15" customHeight="1">
      <c r="A953" s="38"/>
      <c r="B953" s="40"/>
      <c r="C953" s="47"/>
      <c r="D953" s="37"/>
      <c r="E953" s="175"/>
      <c r="F953" s="97"/>
      <c r="G953" s="288"/>
      <c r="H953" s="288"/>
      <c r="I953" s="97"/>
      <c r="J953" s="97"/>
      <c r="K953" s="97"/>
      <c r="L953" s="97"/>
      <c r="M953" s="97"/>
      <c r="N953" s="97"/>
      <c r="O953" s="97"/>
    </row>
    <row r="954" spans="1:15" ht="15" customHeight="1">
      <c r="A954" s="52"/>
      <c r="B954" s="53"/>
      <c r="C954" s="53"/>
      <c r="D954" s="54"/>
      <c r="E954" s="160">
        <f>SUM(E956:E957)</f>
        <v>2.737</v>
      </c>
      <c r="F954" s="97"/>
      <c r="G954" s="288"/>
      <c r="H954" s="288"/>
      <c r="I954" s="97"/>
      <c r="J954" s="97"/>
      <c r="K954" s="97"/>
      <c r="L954" s="97"/>
      <c r="M954" s="97"/>
      <c r="N954" s="97"/>
      <c r="O954" s="97"/>
    </row>
    <row r="955" spans="1:18" ht="15" customHeight="1">
      <c r="A955" s="299" t="s">
        <v>5</v>
      </c>
      <c r="B955" s="299"/>
      <c r="C955" s="39" t="s">
        <v>17</v>
      </c>
      <c r="D955" s="207" t="s">
        <v>18</v>
      </c>
      <c r="E955" s="38" t="s">
        <v>7</v>
      </c>
      <c r="F955" s="97"/>
      <c r="G955" s="92" t="str">
        <f>CONCATENATE("Misc. Iron Scrap, Lying at ",C956,". Quantity in MT - ")</f>
        <v>Misc. Iron Scrap, Lying at OL Patran. Quantity in MT - </v>
      </c>
      <c r="H955" s="297" t="str">
        <f ca="1">CONCATENATE(G955,G956,(INDIRECT(I956)),(INDIRECT(J956)),(INDIRECT(K956)),(INDIRECT(L956)),(INDIRECT(M956)),(INDIRECT(N956)),(INDIRECT(O956)),(INDIRECT(P956)),(INDIRECT(Q956)),(INDIRECT(R956)),".")</f>
        <v>Misc. Iron Scrap, Lying at OL Patran. Quantity in MT - MS iron scrap - 2.222, Teen Patra scrap - 0.515, .</v>
      </c>
      <c r="I955" s="97" t="str">
        <f aca="true" ca="1" t="array" ref="I955">CELL("address",INDEX(G955:G973,MATCH(TRUE,ISBLANK(G955:G973),0)))</f>
        <v>$G$958</v>
      </c>
      <c r="J955" s="97">
        <f aca="true" t="array" ref="J955">MATCH(TRUE,ISBLANK(G955:G973),0)</f>
        <v>4</v>
      </c>
      <c r="K955" s="97">
        <f>J955-3</f>
        <v>1</v>
      </c>
      <c r="L955" s="97"/>
      <c r="M955" s="97"/>
      <c r="N955" s="97"/>
      <c r="O955" s="97"/>
      <c r="P955" s="97"/>
      <c r="Q955" s="97"/>
      <c r="R955" s="97"/>
    </row>
    <row r="956" spans="1:18" ht="15" customHeight="1">
      <c r="A956" s="299" t="s">
        <v>412</v>
      </c>
      <c r="B956" s="299"/>
      <c r="C956" s="300" t="s">
        <v>102</v>
      </c>
      <c r="D956" s="41" t="s">
        <v>29</v>
      </c>
      <c r="E956" s="68">
        <v>2.222</v>
      </c>
      <c r="F956" s="97"/>
      <c r="G956" s="91" t="str">
        <f>CONCATENATE(D956," - ",E956,", ")</f>
        <v>MS iron scrap - 2.222, </v>
      </c>
      <c r="H956" s="297"/>
      <c r="I956" s="97" t="str">
        <f ca="1">IF(J955&gt;=3,(MID(I955,2,1)&amp;MID(I955,4,3)-K955),CELL("address",Z956))</f>
        <v>G957</v>
      </c>
      <c r="J956" s="97" t="str">
        <f ca="1">IF(J955&gt;=4,(MID(I956,1,1)&amp;MID(I956,2,3)+1),CELL("address",AA956))</f>
        <v>G958</v>
      </c>
      <c r="K956" s="97" t="str">
        <f ca="1">IF(J955&gt;=5,(MID(J956,1,1)&amp;MID(J956,2,3)+1),CELL("address",AB956))</f>
        <v>$AB$956</v>
      </c>
      <c r="L956" s="97" t="str">
        <f ca="1">IF(J955&gt;=6,(MID(K956,1,1)&amp;MID(K956,2,3)+1),CELL("address",AC956))</f>
        <v>$AC$956</v>
      </c>
      <c r="M956" s="97" t="str">
        <f ca="1">IF(J955&gt;=7,(MID(L956,1,1)&amp;MID(L956,2,3)+1),CELL("address",AD956))</f>
        <v>$AD$956</v>
      </c>
      <c r="N956" s="97" t="str">
        <f ca="1">IF(J955&gt;=8,(MID(M956,1,1)&amp;MID(M956,2,3)+1),CELL("address",AE956))</f>
        <v>$AE$956</v>
      </c>
      <c r="O956" s="97" t="str">
        <f ca="1">IF(J955&gt;=9,(MID(N956,1,1)&amp;MID(N956,2,3)+1),CELL("address",AF956))</f>
        <v>$AF$956</v>
      </c>
      <c r="P956" s="97" t="str">
        <f ca="1">IF(J955&gt;=10,(MID(O956,1,1)&amp;MID(O956,2,3)+1),CELL("address",AG956))</f>
        <v>$AG$956</v>
      </c>
      <c r="Q956" s="97" t="str">
        <f ca="1">IF(J955&gt;=11,(MID(P956,1,1)&amp;MID(P956,2,3)+1),CELL("address",AH956))</f>
        <v>$AH$956</v>
      </c>
      <c r="R956" s="97" t="str">
        <f ca="1">IF(J955&gt;=12,(MID(Q956,1,1)&amp;MID(Q956,2,3)+1),CELL("address",AI956))</f>
        <v>$AI$956</v>
      </c>
    </row>
    <row r="957" spans="1:15" ht="15" customHeight="1">
      <c r="A957" s="299"/>
      <c r="B957" s="299"/>
      <c r="C957" s="300"/>
      <c r="D957" s="44" t="s">
        <v>64</v>
      </c>
      <c r="E957" s="68">
        <v>0.515</v>
      </c>
      <c r="F957" s="97"/>
      <c r="G957" s="91" t="str">
        <f>CONCATENATE(D957," - ",E957,", ")</f>
        <v>Teen Patra scrap - 0.515, </v>
      </c>
      <c r="H957" s="288"/>
      <c r="I957" s="97"/>
      <c r="J957" s="97"/>
      <c r="K957" s="97"/>
      <c r="L957" s="97"/>
      <c r="M957" s="97"/>
      <c r="N957" s="97"/>
      <c r="O957" s="97"/>
    </row>
    <row r="958" spans="1:15" ht="15" customHeight="1">
      <c r="A958" s="38"/>
      <c r="B958" s="40"/>
      <c r="C958" s="47"/>
      <c r="D958" s="187"/>
      <c r="E958" s="57"/>
      <c r="F958" s="97"/>
      <c r="G958" s="288"/>
      <c r="H958" s="288"/>
      <c r="I958" s="97"/>
      <c r="J958" s="97"/>
      <c r="K958" s="97"/>
      <c r="L958" s="97"/>
      <c r="M958" s="97"/>
      <c r="N958" s="97"/>
      <c r="O958" s="97"/>
    </row>
    <row r="959" spans="1:18" ht="15" customHeight="1">
      <c r="A959" s="52"/>
      <c r="B959" s="53"/>
      <c r="C959" s="53"/>
      <c r="D959" s="54"/>
      <c r="E959" s="160">
        <f>SUM(E961:E965)</f>
        <v>7.239</v>
      </c>
      <c r="F959" s="97"/>
      <c r="G959" s="288"/>
      <c r="H959" s="288"/>
      <c r="I959" s="97" t="str">
        <f aca="true" ca="1" t="array" ref="I959">CELL("address",INDEX(G959:G977,MATCH(TRUE,ISBLANK(G959:G977),0)))</f>
        <v>$G$959</v>
      </c>
      <c r="J959" s="97">
        <f aca="true" t="array" ref="J959">MATCH(TRUE,ISBLANK(G959:G977),0)</f>
        <v>1</v>
      </c>
      <c r="K959" s="97">
        <f>J959-3</f>
        <v>-2</v>
      </c>
      <c r="L959" s="97"/>
      <c r="M959" s="97"/>
      <c r="N959" s="97"/>
      <c r="O959" s="97"/>
      <c r="P959" s="97"/>
      <c r="Q959" s="97"/>
      <c r="R959" s="97"/>
    </row>
    <row r="960" spans="1:18" ht="15" customHeight="1">
      <c r="A960" s="299" t="s">
        <v>5</v>
      </c>
      <c r="B960" s="299"/>
      <c r="C960" s="39" t="s">
        <v>17</v>
      </c>
      <c r="D960" s="207" t="s">
        <v>18</v>
      </c>
      <c r="E960" s="38" t="s">
        <v>7</v>
      </c>
      <c r="F960" s="191"/>
      <c r="G960" s="92" t="str">
        <f>CONCATENATE("Misc. Iron Scrap, Lying at ",C961,". Quantity in MT - ")</f>
        <v>Misc. Iron Scrap, Lying at OL Ropar. Quantity in MT - </v>
      </c>
      <c r="H960" s="297" t="str">
        <f ca="1">CONCATENATE(G960,G961,(INDIRECT(I961)),(INDIRECT(J961)),(INDIRECT(K961)),(INDIRECT(L961)),(INDIRECT(M961)),(INDIRECT(N961)),(INDIRECT(O961)),(INDIRECT(P961)),(INDIRECT(Q961)),(INDIRECT(R961)),".")</f>
        <v>Misc. Iron Scrap, Lying at OL Ropar. Quantity in MT - MS iron scrap - 3.454, MS Rail scrap - 1.085, Transformer body scrap - 2.468, G.I. Scrap - 0.167, Teen Patra scrap - 0.065, .</v>
      </c>
      <c r="I960" s="97" t="str">
        <f aca="true" ca="1" t="array" ref="I960">CELL("address",INDEX(G960:G978,MATCH(TRUE,ISBLANK(G960:G978),0)))</f>
        <v>$G$966</v>
      </c>
      <c r="J960" s="97">
        <f aca="true" t="array" ref="J960">MATCH(TRUE,ISBLANK(G960:G978),0)</f>
        <v>7</v>
      </c>
      <c r="K960" s="97">
        <f>J960-3</f>
        <v>4</v>
      </c>
      <c r="L960" s="97"/>
      <c r="M960" s="97"/>
      <c r="N960" s="97"/>
      <c r="O960" s="97"/>
      <c r="P960" s="97"/>
      <c r="Q960" s="97"/>
      <c r="R960" s="97"/>
    </row>
    <row r="961" spans="1:18" ht="15" customHeight="1">
      <c r="A961" s="299" t="s">
        <v>413</v>
      </c>
      <c r="B961" s="299"/>
      <c r="C961" s="300" t="s">
        <v>98</v>
      </c>
      <c r="D961" s="41" t="s">
        <v>29</v>
      </c>
      <c r="E961" s="68">
        <v>3.454</v>
      </c>
      <c r="F961" s="191"/>
      <c r="G961" s="91" t="str">
        <f>CONCATENATE(D961," - ",E961,", ")</f>
        <v>MS iron scrap - 3.454, </v>
      </c>
      <c r="H961" s="297"/>
      <c r="I961" s="97" t="str">
        <f ca="1">IF(J960&gt;=3,(MID(I960,2,1)&amp;MID(I960,4,3)-K960),CELL("address",Z961))</f>
        <v>G962</v>
      </c>
      <c r="J961" s="97" t="str">
        <f ca="1">IF(J960&gt;=4,(MID(I961,1,1)&amp;MID(I961,2,3)+1),CELL("address",AA961))</f>
        <v>G963</v>
      </c>
      <c r="K961" s="97" t="str">
        <f ca="1">IF(J960&gt;=5,(MID(J961,1,1)&amp;MID(J961,2,3)+1),CELL("address",AB961))</f>
        <v>G964</v>
      </c>
      <c r="L961" s="97" t="str">
        <f ca="1">IF(J960&gt;=6,(MID(K961,1,1)&amp;MID(K961,2,3)+1),CELL("address",AC961))</f>
        <v>G965</v>
      </c>
      <c r="M961" s="97" t="str">
        <f ca="1">IF(J960&gt;=7,(MID(L961,1,1)&amp;MID(L961,2,3)+1),CELL("address",AD961))</f>
        <v>G966</v>
      </c>
      <c r="N961" s="97" t="str">
        <f ca="1">IF(J960&gt;=8,(MID(M961,1,1)&amp;MID(M961,2,3)+1),CELL("address",AE961))</f>
        <v>$AE$961</v>
      </c>
      <c r="O961" s="97" t="str">
        <f ca="1">IF(J960&gt;=9,(MID(N961,1,1)&amp;MID(N961,2,3)+1),CELL("address",AF961))</f>
        <v>$AF$961</v>
      </c>
      <c r="P961" s="97" t="str">
        <f ca="1">IF(J960&gt;=10,(MID(O961,1,1)&amp;MID(O961,2,3)+1),CELL("address",AG961))</f>
        <v>$AG$961</v>
      </c>
      <c r="Q961" s="97" t="str">
        <f ca="1">IF(J960&gt;=11,(MID(P961,1,1)&amp;MID(P961,2,3)+1),CELL("address",AH961))</f>
        <v>$AH$961</v>
      </c>
      <c r="R961" s="97" t="str">
        <f ca="1">IF(J960&gt;=12,(MID(Q961,1,1)&amp;MID(Q961,2,3)+1),CELL("address",AI961))</f>
        <v>$AI$961</v>
      </c>
    </row>
    <row r="962" spans="1:15" ht="15" customHeight="1">
      <c r="A962" s="299"/>
      <c r="B962" s="299"/>
      <c r="C962" s="300"/>
      <c r="D962" s="41" t="s">
        <v>61</v>
      </c>
      <c r="E962" s="68">
        <v>1.085</v>
      </c>
      <c r="F962" s="191"/>
      <c r="G962" s="91" t="str">
        <f>CONCATENATE(D962," - ",E962,", ")</f>
        <v>MS Rail scrap - 1.085, </v>
      </c>
      <c r="H962" s="288"/>
      <c r="I962" s="97"/>
      <c r="J962" s="97"/>
      <c r="K962" s="97"/>
      <c r="L962" s="97"/>
      <c r="M962" s="97"/>
      <c r="N962" s="97"/>
      <c r="O962" s="97"/>
    </row>
    <row r="963" spans="1:15" ht="15" customHeight="1">
      <c r="A963" s="299"/>
      <c r="B963" s="299"/>
      <c r="C963" s="300"/>
      <c r="D963" s="80" t="s">
        <v>60</v>
      </c>
      <c r="E963" s="57">
        <v>2.468</v>
      </c>
      <c r="F963" s="191"/>
      <c r="G963" s="91" t="str">
        <f>CONCATENATE(D963," - ",E963,", ")</f>
        <v>Transformer body scrap - 2.468, </v>
      </c>
      <c r="H963" s="288"/>
      <c r="I963" s="97"/>
      <c r="J963" s="97"/>
      <c r="K963" s="97"/>
      <c r="L963" s="97"/>
      <c r="M963" s="97"/>
      <c r="N963" s="97"/>
      <c r="O963" s="97"/>
    </row>
    <row r="964" spans="1:15" ht="15" customHeight="1">
      <c r="A964" s="299"/>
      <c r="B964" s="299"/>
      <c r="C964" s="300"/>
      <c r="D964" s="80" t="s">
        <v>197</v>
      </c>
      <c r="E964" s="57">
        <v>0.167</v>
      </c>
      <c r="F964" s="191"/>
      <c r="G964" s="91" t="str">
        <f>CONCATENATE(D964," - ",E964,", ")</f>
        <v>G.I. Scrap - 0.167, </v>
      </c>
      <c r="H964" s="288"/>
      <c r="I964" s="97"/>
      <c r="J964" s="97"/>
      <c r="K964" s="97"/>
      <c r="L964" s="97"/>
      <c r="M964" s="97"/>
      <c r="N964" s="97"/>
      <c r="O964" s="97"/>
    </row>
    <row r="965" spans="1:15" ht="15" customHeight="1">
      <c r="A965" s="299"/>
      <c r="B965" s="299"/>
      <c r="C965" s="300"/>
      <c r="D965" s="44" t="s">
        <v>64</v>
      </c>
      <c r="E965" s="57">
        <v>0.065</v>
      </c>
      <c r="F965" s="97"/>
      <c r="G965" s="91" t="str">
        <f>CONCATENATE(D965," - ",E965,", ")</f>
        <v>Teen Patra scrap - 0.065, </v>
      </c>
      <c r="H965" s="288"/>
      <c r="I965" s="97"/>
      <c r="J965" s="97"/>
      <c r="K965" s="97"/>
      <c r="L965" s="97"/>
      <c r="M965" s="97"/>
      <c r="N965" s="97"/>
      <c r="O965" s="97"/>
    </row>
    <row r="966" spans="1:15" ht="15" customHeight="1">
      <c r="A966" s="38"/>
      <c r="B966" s="40"/>
      <c r="C966" s="47"/>
      <c r="D966" s="37"/>
      <c r="E966" s="175"/>
      <c r="G966" s="288"/>
      <c r="H966" s="288"/>
      <c r="I966" s="97"/>
      <c r="J966" s="97"/>
      <c r="K966" s="97"/>
      <c r="L966" s="97"/>
      <c r="M966" s="97"/>
      <c r="N966" s="97"/>
      <c r="O966" s="97"/>
    </row>
    <row r="967" spans="1:8" ht="18.75" customHeight="1">
      <c r="A967" s="52"/>
      <c r="B967" s="53"/>
      <c r="C967" s="53"/>
      <c r="D967" s="54"/>
      <c r="E967" s="160">
        <f>SUM(E969:E972)</f>
        <v>4.318</v>
      </c>
      <c r="G967" s="288"/>
      <c r="H967" s="288"/>
    </row>
    <row r="968" spans="1:18" ht="15" customHeight="1">
      <c r="A968" s="299" t="s">
        <v>5</v>
      </c>
      <c r="B968" s="299"/>
      <c r="C968" s="39" t="s">
        <v>17</v>
      </c>
      <c r="D968" s="207" t="s">
        <v>18</v>
      </c>
      <c r="E968" s="38" t="s">
        <v>7</v>
      </c>
      <c r="G968" s="92" t="str">
        <f>CONCATENATE("Misc. Iron Scrap, Lying at ",C969,". Quantity in MT - ")</f>
        <v>Misc. Iron Scrap, Lying at OL Nabha. Quantity in MT - </v>
      </c>
      <c r="H968" s="297" t="str">
        <f ca="1">CONCATENATE(G968,G969,(INDIRECT(I969)),(INDIRECT(J969)),(INDIRECT(K969)),(INDIRECT(L969)),(INDIRECT(M969)),(INDIRECT(N969)),(INDIRECT(O969)),(INDIRECT(P969)),(INDIRECT(Q969)),(INDIRECT(R969)),".")</f>
        <v>Misc. Iron Scrap, Lying at OL Nabha. Quantity in MT - MS iron scrap - 2.442, Transformer body scrap - 1.375, Lamination scrap - 0.459, Teen Patra scrap - 0.042, .</v>
      </c>
      <c r="I968" s="97" t="str">
        <f aca="true" ca="1" t="array" ref="I968">CELL("address",INDEX(G968:G986,MATCH(TRUE,ISBLANK(G968:G986),0)))</f>
        <v>$G$973</v>
      </c>
      <c r="J968" s="97">
        <f aca="true" t="array" ref="J968">MATCH(TRUE,ISBLANK(G968:G986),0)</f>
        <v>6</v>
      </c>
      <c r="K968" s="97">
        <f>J968-3</f>
        <v>3</v>
      </c>
      <c r="L968" s="97"/>
      <c r="M968" s="97"/>
      <c r="N968" s="97"/>
      <c r="O968" s="97"/>
      <c r="P968" s="97"/>
      <c r="Q968" s="97"/>
      <c r="R968" s="97"/>
    </row>
    <row r="969" spans="1:18" ht="15" customHeight="1">
      <c r="A969" s="299" t="s">
        <v>444</v>
      </c>
      <c r="B969" s="299"/>
      <c r="C969" s="300" t="s">
        <v>104</v>
      </c>
      <c r="D969" s="41" t="s">
        <v>29</v>
      </c>
      <c r="E969" s="68">
        <v>2.442</v>
      </c>
      <c r="G969" s="91" t="str">
        <f>CONCATENATE(D969," - ",E969,", ")</f>
        <v>MS iron scrap - 2.442, </v>
      </c>
      <c r="H969" s="297"/>
      <c r="I969" s="97" t="str">
        <f ca="1">IF(J968&gt;=3,(MID(I968,2,1)&amp;MID(I968,4,3)-K968),CELL("address",Z969))</f>
        <v>G970</v>
      </c>
      <c r="J969" s="97" t="str">
        <f ca="1">IF(J968&gt;=4,(MID(I969,1,1)&amp;MID(I969,2,3)+1),CELL("address",AA969))</f>
        <v>G971</v>
      </c>
      <c r="K969" s="97" t="str">
        <f ca="1">IF(J968&gt;=5,(MID(J969,1,1)&amp;MID(J969,2,3)+1),CELL("address",AB969))</f>
        <v>G972</v>
      </c>
      <c r="L969" s="97" t="str">
        <f ca="1">IF(J968&gt;=6,(MID(K969,1,1)&amp;MID(K969,2,3)+1),CELL("address",AC969))</f>
        <v>G973</v>
      </c>
      <c r="M969" s="97" t="str">
        <f ca="1">IF(J968&gt;=7,(MID(L969,1,1)&amp;MID(L969,2,3)+1),CELL("address",AD969))</f>
        <v>$AD$969</v>
      </c>
      <c r="N969" s="97" t="str">
        <f ca="1">IF(J968&gt;=8,(MID(M969,1,1)&amp;MID(M969,2,3)+1),CELL("address",AE969))</f>
        <v>$AE$969</v>
      </c>
      <c r="O969" s="97" t="str">
        <f ca="1">IF(J968&gt;=9,(MID(N969,1,1)&amp;MID(N969,2,3)+1),CELL("address",AF969))</f>
        <v>$AF$969</v>
      </c>
      <c r="P969" s="97" t="str">
        <f ca="1">IF(J968&gt;=10,(MID(O969,1,1)&amp;MID(O969,2,3)+1),CELL("address",AG969))</f>
        <v>$AG$969</v>
      </c>
      <c r="Q969" s="97" t="str">
        <f ca="1">IF(J968&gt;=11,(MID(P969,1,1)&amp;MID(P969,2,3)+1),CELL("address",AH969))</f>
        <v>$AH$969</v>
      </c>
      <c r="R969" s="97" t="str">
        <f ca="1">IF(J968&gt;=12,(MID(Q969,1,1)&amp;MID(Q969,2,3)+1),CELL("address",AI969))</f>
        <v>$AI$969</v>
      </c>
    </row>
    <row r="970" spans="1:8" ht="15" customHeight="1">
      <c r="A970" s="299"/>
      <c r="B970" s="299"/>
      <c r="C970" s="300"/>
      <c r="D970" s="80" t="s">
        <v>60</v>
      </c>
      <c r="E970" s="68">
        <v>1.375</v>
      </c>
      <c r="G970" s="91" t="str">
        <f>CONCATENATE(D970," - ",E970,", ")</f>
        <v>Transformer body scrap - 1.375, </v>
      </c>
      <c r="H970" s="288"/>
    </row>
    <row r="971" spans="1:8" ht="15" customHeight="1">
      <c r="A971" s="299"/>
      <c r="B971" s="299"/>
      <c r="C971" s="300"/>
      <c r="D971" s="44" t="s">
        <v>443</v>
      </c>
      <c r="E971" s="57">
        <v>0.459</v>
      </c>
      <c r="G971" s="91" t="str">
        <f>CONCATENATE(D971," - ",E971,", ")</f>
        <v>Lamination scrap - 0.459, </v>
      </c>
      <c r="H971" s="288"/>
    </row>
    <row r="972" spans="1:8" ht="15" customHeight="1">
      <c r="A972" s="299"/>
      <c r="B972" s="299"/>
      <c r="C972" s="300"/>
      <c r="D972" s="44" t="s">
        <v>64</v>
      </c>
      <c r="E972" s="57">
        <v>0.042</v>
      </c>
      <c r="G972" s="91" t="str">
        <f>CONCATENATE(D972," - ",E972,", ")</f>
        <v>Teen Patra scrap - 0.042, </v>
      </c>
      <c r="H972" s="288"/>
    </row>
    <row r="973" spans="1:8" ht="15" customHeight="1">
      <c r="A973" s="200"/>
      <c r="B973" s="202"/>
      <c r="C973" s="47"/>
      <c r="D973" s="37"/>
      <c r="E973" s="175"/>
      <c r="G973" s="288"/>
      <c r="H973" s="288"/>
    </row>
    <row r="974" spans="1:8" ht="15" customHeight="1">
      <c r="A974" s="52"/>
      <c r="B974" s="53"/>
      <c r="C974" s="53"/>
      <c r="D974" s="54"/>
      <c r="E974" s="160">
        <f>SUM(E976:E976)</f>
        <v>19</v>
      </c>
      <c r="G974" s="288"/>
      <c r="H974" s="288"/>
    </row>
    <row r="975" spans="1:18" ht="15" customHeight="1">
      <c r="A975" s="299" t="s">
        <v>5</v>
      </c>
      <c r="B975" s="299"/>
      <c r="C975" s="39" t="s">
        <v>17</v>
      </c>
      <c r="D975" s="207" t="s">
        <v>18</v>
      </c>
      <c r="E975" s="38" t="s">
        <v>7</v>
      </c>
      <c r="G975" s="92" t="str">
        <f>CONCATENATE("Misc. Iron Scrap, Lying at ",C976,". Quantity in MT - ")</f>
        <v>Misc. Iron Scrap, Lying at S &amp; T Store Bathinda. Quantity in MT - </v>
      </c>
      <c r="H975" s="297" t="str">
        <f ca="1">CONCATENATE(G975,G976,(INDIRECT(I976)),(INDIRECT(J976)),(INDIRECT(K976)),(INDIRECT(L976)),(INDIRECT(M976)),(INDIRECT(N976)),(INDIRECT(O976)),(INDIRECT(P976)),(INDIRECT(Q976)),(INDIRECT(R976)),".")</f>
        <v>Misc. Iron Scrap, Lying at S &amp; T Store Bathinda. Quantity in MT - MS iron scrap - 19, .</v>
      </c>
      <c r="I975" s="97" t="str">
        <f aca="true" ca="1" t="array" ref="I975">CELL("address",INDEX(G975:G993,MATCH(TRUE,ISBLANK(G975:G993),0)))</f>
        <v>$G$977</v>
      </c>
      <c r="J975" s="97">
        <f aca="true" t="array" ref="J975">MATCH(TRUE,ISBLANK(G975:G993),0)</f>
        <v>3</v>
      </c>
      <c r="K975" s="97">
        <f>J975-3</f>
        <v>0</v>
      </c>
      <c r="L975" s="97"/>
      <c r="M975" s="97"/>
      <c r="N975" s="97"/>
      <c r="O975" s="97"/>
      <c r="P975" s="97"/>
      <c r="Q975" s="97"/>
      <c r="R975" s="97"/>
    </row>
    <row r="976" spans="1:18" ht="15" customHeight="1">
      <c r="A976" s="299" t="s">
        <v>501</v>
      </c>
      <c r="B976" s="299"/>
      <c r="C976" s="207" t="s">
        <v>57</v>
      </c>
      <c r="D976" s="41" t="s">
        <v>29</v>
      </c>
      <c r="E976" s="68">
        <v>19</v>
      </c>
      <c r="G976" s="91" t="str">
        <f>CONCATENATE(D976," - ",E976,", ")</f>
        <v>MS iron scrap - 19, </v>
      </c>
      <c r="H976" s="297"/>
      <c r="I976" s="97" t="str">
        <f ca="1">IF(J975&gt;=3,(MID(I975,2,1)&amp;MID(I975,4,3)-K975),CELL("address",Z976))</f>
        <v>G977</v>
      </c>
      <c r="J976" s="97" t="str">
        <f ca="1">IF(J975&gt;=4,(MID(I976,1,1)&amp;MID(I976,2,3)+1),CELL("address",AA976))</f>
        <v>$AA$976</v>
      </c>
      <c r="K976" s="97" t="str">
        <f ca="1">IF(J975&gt;=5,(MID(J976,1,1)&amp;MID(J976,2,3)+1),CELL("address",AB976))</f>
        <v>$AB$976</v>
      </c>
      <c r="L976" s="97" t="str">
        <f ca="1">IF(J975&gt;=6,(MID(K976,1,1)&amp;MID(K976,2,3)+1),CELL("address",AC976))</f>
        <v>$AC$976</v>
      </c>
      <c r="M976" s="97" t="str">
        <f ca="1">IF(J975&gt;=7,(MID(L976,1,1)&amp;MID(L976,2,3)+1),CELL("address",AD976))</f>
        <v>$AD$976</v>
      </c>
      <c r="N976" s="97" t="str">
        <f ca="1">IF(J975&gt;=8,(MID(M976,1,1)&amp;MID(M976,2,3)+1),CELL("address",AE976))</f>
        <v>$AE$976</v>
      </c>
      <c r="O976" s="97" t="str">
        <f ca="1">IF(J975&gt;=9,(MID(N976,1,1)&amp;MID(N976,2,3)+1),CELL("address",AF976))</f>
        <v>$AF$976</v>
      </c>
      <c r="P976" s="97" t="str">
        <f ca="1">IF(J975&gt;=10,(MID(O976,1,1)&amp;MID(O976,2,3)+1),CELL("address",AG976))</f>
        <v>$AG$976</v>
      </c>
      <c r="Q976" s="97" t="str">
        <f ca="1">IF(J975&gt;=11,(MID(P976,1,1)&amp;MID(P976,2,3)+1),CELL("address",AH976))</f>
        <v>$AH$976</v>
      </c>
      <c r="R976" s="97" t="str">
        <f ca="1">IF(J975&gt;=12,(MID(Q976,1,1)&amp;MID(Q976,2,3)+1),CELL("address",AI976))</f>
        <v>$AI$976</v>
      </c>
    </row>
    <row r="977" spans="1:18" ht="15" customHeight="1">
      <c r="A977" s="38"/>
      <c r="B977" s="40"/>
      <c r="C977" s="47"/>
      <c r="D977" s="40"/>
      <c r="E977" s="57"/>
      <c r="G977" s="288"/>
      <c r="H977" s="288"/>
      <c r="I977" s="97"/>
      <c r="J977" s="97"/>
      <c r="K977" s="97"/>
      <c r="L977" s="97"/>
      <c r="M977" s="97"/>
      <c r="N977" s="97"/>
      <c r="O977" s="97"/>
      <c r="P977" s="97"/>
      <c r="Q977" s="97"/>
      <c r="R977" s="97"/>
    </row>
    <row r="978" spans="1:18" ht="15" customHeight="1">
      <c r="A978" s="52"/>
      <c r="B978" s="53"/>
      <c r="C978" s="53"/>
      <c r="D978" s="54"/>
      <c r="E978" s="160">
        <f>SUM(E980:E981)</f>
        <v>105</v>
      </c>
      <c r="G978" s="288"/>
      <c r="H978" s="288"/>
      <c r="I978" s="97"/>
      <c r="J978" s="97"/>
      <c r="K978" s="97"/>
      <c r="L978" s="97"/>
      <c r="M978" s="97"/>
      <c r="N978" s="97"/>
      <c r="O978" s="97"/>
      <c r="P978" s="97"/>
      <c r="Q978" s="97"/>
      <c r="R978" s="97"/>
    </row>
    <row r="979" spans="1:18" ht="15" customHeight="1">
      <c r="A979" s="299" t="s">
        <v>5</v>
      </c>
      <c r="B979" s="299"/>
      <c r="C979" s="39" t="s">
        <v>17</v>
      </c>
      <c r="D979" s="219" t="s">
        <v>18</v>
      </c>
      <c r="E979" s="38" t="s">
        <v>69</v>
      </c>
      <c r="G979" s="92" t="str">
        <f>CONCATENATE("U/S Typewriters &amp; U/S Ceiling fans, Lying at ",C980,". Quantity in No - ")</f>
        <v>U/S Typewriters &amp; U/S Ceiling fans, Lying at CS Patiala. Quantity in No - </v>
      </c>
      <c r="H979" s="297" t="str">
        <f ca="1">CONCATENATE(G979,G980,(INDIRECT(I980)),(INDIRECT(J980)),(INDIRECT(K980)),(INDIRECT(L980)),(INDIRECT(M980)),(INDIRECT(N980)),(INDIRECT(O980)),(INDIRECT(P980)),(INDIRECT(Q980)),(INDIRECT(R980)),".")</f>
        <v>U/S Typewriters &amp; U/S Ceiling fans, Lying at CS Patiala. Quantity in No - U/S Typewriters - 64, U/S Ceiling Fans - 41, .</v>
      </c>
      <c r="I979" s="97" t="str">
        <f aca="true" ca="1" t="array" ref="I979">CELL("address",INDEX(G979:G997,MATCH(TRUE,ISBLANK(G979:G997),0)))</f>
        <v>$G$982</v>
      </c>
      <c r="J979" s="97">
        <f aca="true" t="array" ref="J979">MATCH(TRUE,ISBLANK(G979:G997),0)</f>
        <v>4</v>
      </c>
      <c r="K979" s="97">
        <f>J979-3</f>
        <v>1</v>
      </c>
      <c r="L979" s="97"/>
      <c r="M979" s="97"/>
      <c r="N979" s="97"/>
      <c r="O979" s="97"/>
      <c r="P979" s="97"/>
      <c r="Q979" s="97"/>
      <c r="R979" s="97"/>
    </row>
    <row r="980" spans="1:18" ht="15" customHeight="1">
      <c r="A980" s="299" t="s">
        <v>547</v>
      </c>
      <c r="B980" s="299"/>
      <c r="C980" s="300" t="s">
        <v>52</v>
      </c>
      <c r="D980" s="39" t="s">
        <v>545</v>
      </c>
      <c r="E980" s="57">
        <v>64</v>
      </c>
      <c r="G980" s="91" t="str">
        <f>CONCATENATE(D980," - ",E980,", ")</f>
        <v>U/S Typewriters - 64, </v>
      </c>
      <c r="H980" s="297"/>
      <c r="I980" s="97" t="str">
        <f ca="1">IF(J979&gt;=3,(MID(I979,2,1)&amp;MID(I979,4,3)-K979),CELL("address",Z980))</f>
        <v>G981</v>
      </c>
      <c r="J980" s="97" t="str">
        <f ca="1">IF(J979&gt;=4,(MID(I980,1,1)&amp;MID(I980,2,3)+1),CELL("address",AA980))</f>
        <v>G982</v>
      </c>
      <c r="K980" s="97" t="str">
        <f ca="1">IF(J979&gt;=5,(MID(J980,1,1)&amp;MID(J980,2,3)+1),CELL("address",AB980))</f>
        <v>$AB$980</v>
      </c>
      <c r="L980" s="97" t="str">
        <f ca="1">IF(J979&gt;=6,(MID(K980,1,1)&amp;MID(K980,2,3)+1),CELL("address",AC980))</f>
        <v>$AC$980</v>
      </c>
      <c r="M980" s="97" t="str">
        <f ca="1">IF(J979&gt;=7,(MID(L980,1,1)&amp;MID(L980,2,3)+1),CELL("address",AD980))</f>
        <v>$AD$980</v>
      </c>
      <c r="N980" s="97" t="str">
        <f ca="1">IF(J979&gt;=8,(MID(M980,1,1)&amp;MID(M980,2,3)+1),CELL("address",AE980))</f>
        <v>$AE$980</v>
      </c>
      <c r="O980" s="97" t="str">
        <f ca="1">IF(J979&gt;=9,(MID(N980,1,1)&amp;MID(N980,2,3)+1),CELL("address",AF980))</f>
        <v>$AF$980</v>
      </c>
      <c r="P980" s="97" t="str">
        <f ca="1">IF(J979&gt;=10,(MID(O980,1,1)&amp;MID(O980,2,3)+1),CELL("address",AG980))</f>
        <v>$AG$980</v>
      </c>
      <c r="Q980" s="97" t="str">
        <f ca="1">IF(J979&gt;=11,(MID(P980,1,1)&amp;MID(P980,2,3)+1),CELL("address",AH980))</f>
        <v>$AH$980</v>
      </c>
      <c r="R980" s="97" t="str">
        <f ca="1">IF(J979&gt;=12,(MID(Q980,1,1)&amp;MID(Q980,2,3)+1),CELL("address",AI980))</f>
        <v>$AI$980</v>
      </c>
    </row>
    <row r="981" spans="1:19" ht="15" customHeight="1">
      <c r="A981" s="299"/>
      <c r="B981" s="299"/>
      <c r="C981" s="300"/>
      <c r="D981" s="39" t="s">
        <v>550</v>
      </c>
      <c r="E981" s="57">
        <v>41</v>
      </c>
      <c r="G981" s="91" t="str">
        <f>CONCATENATE(D981," - ",E981,", ")</f>
        <v>U/S Ceiling Fans - 41, </v>
      </c>
      <c r="H981" s="288"/>
      <c r="I981" s="288"/>
      <c r="J981" s="288"/>
      <c r="K981" s="288"/>
      <c r="L981" s="288"/>
      <c r="M981" s="288"/>
      <c r="N981" s="288"/>
      <c r="O981" s="288"/>
      <c r="P981" s="288"/>
      <c r="Q981" s="288"/>
      <c r="R981" s="288"/>
      <c r="S981" s="288"/>
    </row>
    <row r="982" spans="1:18" ht="15" customHeight="1">
      <c r="A982" s="38"/>
      <c r="B982" s="40"/>
      <c r="C982" s="47"/>
      <c r="D982" s="40"/>
      <c r="E982" s="57"/>
      <c r="G982" s="288"/>
      <c r="H982" s="288"/>
      <c r="I982" s="97"/>
      <c r="J982" s="97"/>
      <c r="K982" s="97"/>
      <c r="L982" s="97"/>
      <c r="M982" s="97"/>
      <c r="N982" s="97"/>
      <c r="O982" s="97"/>
      <c r="P982" s="97"/>
      <c r="Q982" s="97"/>
      <c r="R982" s="97"/>
    </row>
    <row r="983" spans="1:18" ht="15" customHeight="1">
      <c r="A983" s="52"/>
      <c r="B983" s="53"/>
      <c r="C983" s="53"/>
      <c r="D983" s="55"/>
      <c r="E983" s="56">
        <f>SUM(E985:E985)</f>
        <v>1</v>
      </c>
      <c r="G983" s="288"/>
      <c r="H983" s="288"/>
      <c r="I983" s="97"/>
      <c r="J983" s="97"/>
      <c r="K983" s="97"/>
      <c r="L983" s="97"/>
      <c r="M983" s="97"/>
      <c r="N983" s="97"/>
      <c r="O983" s="97"/>
      <c r="P983" s="97"/>
      <c r="Q983" s="97"/>
      <c r="R983" s="97"/>
    </row>
    <row r="984" spans="1:18" ht="15" customHeight="1">
      <c r="A984" s="298" t="s">
        <v>5</v>
      </c>
      <c r="B984" s="298"/>
      <c r="C984" s="69" t="s">
        <v>17</v>
      </c>
      <c r="D984" s="244" t="s">
        <v>18</v>
      </c>
      <c r="E984" s="38" t="s">
        <v>69</v>
      </c>
      <c r="G984" s="92" t="str">
        <f>CONCATENATE("U/S Tyres , Lying at ",C985,". Quantity in No - ")</f>
        <v>U/S Tyres , Lying at OL Patran. Quantity in No - </v>
      </c>
      <c r="H984" s="297" t="str">
        <f ca="1">CONCATENATE(G984,G985,(INDIRECT(I985)),(INDIRECT(J985)),(INDIRECT(K985)),(INDIRECT(L985)),(INDIRECT(M985)),(INDIRECT(N985)),(INDIRECT(O985)),(INDIRECT(P985)),(INDIRECT(Q985)),(INDIRECT(R985)),".")</f>
        <v>U/S Tyres , Lying at OL Patran. Quantity in No - U/S Tyres - 1, .</v>
      </c>
      <c r="I984" s="97" t="str">
        <f aca="true" ca="1" t="array" ref="I984">CELL("address",INDEX(G984:G1004,MATCH(TRUE,ISBLANK(G984:G1004),0)))</f>
        <v>$G$986</v>
      </c>
      <c r="J984" s="97">
        <f aca="true" t="array" ref="J984">MATCH(TRUE,ISBLANK(G984:G1004),0)</f>
        <v>3</v>
      </c>
      <c r="K984" s="97">
        <f>J984-3</f>
        <v>0</v>
      </c>
      <c r="L984" s="97"/>
      <c r="M984" s="97"/>
      <c r="N984" s="97"/>
      <c r="O984" s="97"/>
      <c r="P984" s="97"/>
      <c r="Q984" s="97"/>
      <c r="R984" s="97"/>
    </row>
    <row r="985" spans="1:18" ht="15" customHeight="1">
      <c r="A985" s="299" t="s">
        <v>572</v>
      </c>
      <c r="B985" s="299"/>
      <c r="C985" s="244" t="s">
        <v>102</v>
      </c>
      <c r="D985" s="41" t="s">
        <v>336</v>
      </c>
      <c r="E985" s="68">
        <v>1</v>
      </c>
      <c r="G985" s="91" t="str">
        <f>CONCATENATE(D985," - ",E985,", ")</f>
        <v>U/S Tyres - 1, </v>
      </c>
      <c r="H985" s="297"/>
      <c r="I985" s="97" t="str">
        <f ca="1">IF(J984&gt;=3,(MID(I984,2,1)&amp;MID(I984,4,3)-K984),CELL("address",Z985))</f>
        <v>G986</v>
      </c>
      <c r="J985" s="97" t="str">
        <f ca="1">IF(J984&gt;=4,(MID(I985,1,1)&amp;MID(I985,2,3)+1),CELL("address",AA985))</f>
        <v>$AA$985</v>
      </c>
      <c r="K985" s="97" t="str">
        <f ca="1">IF(J984&gt;=5,(MID(J985,1,1)&amp;MID(J985,2,3)+1),CELL("address",AB985))</f>
        <v>$AB$985</v>
      </c>
      <c r="L985" s="97" t="str">
        <f ca="1">IF(J984&gt;=6,(MID(K985,1,1)&amp;MID(K985,2,3)+1),CELL("address",AC985))</f>
        <v>$AC$985</v>
      </c>
      <c r="M985" s="97" t="str">
        <f ca="1">IF(J984&gt;=7,(MID(L985,1,1)&amp;MID(L985,2,3)+1),CELL("address",AD985))</f>
        <v>$AD$985</v>
      </c>
      <c r="N985" s="97" t="str">
        <f ca="1">IF(J984&gt;=8,(MID(M985,1,1)&amp;MID(M985,2,3)+1),CELL("address",AE985))</f>
        <v>$AE$985</v>
      </c>
      <c r="O985" s="97" t="str">
        <f ca="1">IF(J984&gt;=9,(MID(N985,1,1)&amp;MID(N985,2,3)+1),CELL("address",AF985))</f>
        <v>$AF$985</v>
      </c>
      <c r="P985" s="97" t="str">
        <f ca="1">IF(J984&gt;=10,(MID(O985,1,1)&amp;MID(O985,2,3)+1),CELL("address",AG985))</f>
        <v>$AG$985</v>
      </c>
      <c r="Q985" s="97" t="str">
        <f ca="1">IF(J984&gt;=11,(MID(P985,1,1)&amp;MID(P985,2,3)+1),CELL("address",AH985))</f>
        <v>$AH$985</v>
      </c>
      <c r="R985" s="97" t="str">
        <f ca="1">IF(J984&gt;=12,(MID(Q985,1,1)&amp;MID(Q985,2,3)+1),CELL("address",AI985))</f>
        <v>$AI$985</v>
      </c>
    </row>
    <row r="986" spans="1:18" ht="15" customHeight="1">
      <c r="A986" s="38"/>
      <c r="B986" s="40"/>
      <c r="C986" s="47"/>
      <c r="D986" s="246"/>
      <c r="E986" s="175"/>
      <c r="G986" s="288"/>
      <c r="H986" s="288"/>
      <c r="I986" s="97"/>
      <c r="J986" s="97"/>
      <c r="K986" s="97"/>
      <c r="L986" s="97"/>
      <c r="M986" s="97"/>
      <c r="N986" s="97"/>
      <c r="O986" s="97"/>
      <c r="P986" s="97"/>
      <c r="Q986" s="97"/>
      <c r="R986" s="97"/>
    </row>
    <row r="987" spans="1:18" ht="15" customHeight="1">
      <c r="A987" s="52"/>
      <c r="B987" s="53"/>
      <c r="C987" s="53"/>
      <c r="D987" s="54"/>
      <c r="E987" s="160">
        <f>SUM(E989:E989)</f>
        <v>0.661</v>
      </c>
      <c r="G987" s="288"/>
      <c r="H987" s="288"/>
      <c r="I987" s="97"/>
      <c r="J987" s="97"/>
      <c r="K987" s="97"/>
      <c r="L987" s="97"/>
      <c r="M987" s="97"/>
      <c r="N987" s="97"/>
      <c r="O987" s="97"/>
      <c r="P987" s="97"/>
      <c r="Q987" s="97"/>
      <c r="R987" s="97"/>
    </row>
    <row r="988" spans="1:18" ht="15" customHeight="1">
      <c r="A988" s="299" t="s">
        <v>5</v>
      </c>
      <c r="B988" s="299"/>
      <c r="C988" s="39" t="s">
        <v>17</v>
      </c>
      <c r="D988" s="247" t="s">
        <v>18</v>
      </c>
      <c r="E988" s="38" t="s">
        <v>7</v>
      </c>
      <c r="G988" s="92" t="str">
        <f>CONCATENATE("Misc. Iron Scrap, Lying at ",C989,". Quantity in MT - ")</f>
        <v>Misc. Iron Scrap, Lying at OL Mansa. Quantity in MT - </v>
      </c>
      <c r="H988" s="297" t="str">
        <f ca="1">CONCATENATE(G988,G989,(INDIRECT(I989)),(INDIRECT(J989)),(INDIRECT(K989)),(INDIRECT(L989)),(INDIRECT(M989)),(INDIRECT(N989)),(INDIRECT(O989)),(INDIRECT(P989)),(INDIRECT(Q989)),(INDIRECT(R989)),".")</f>
        <v>Misc. Iron Scrap, Lying at OL Mansa. Quantity in MT - MS iron scrap - 0.661, .</v>
      </c>
      <c r="I988" s="97" t="str">
        <f aca="true" ca="1" t="array" ref="I988">CELL("address",INDEX(G988:G1000,MATCH(TRUE,ISBLANK(G988:G1000),0)))</f>
        <v>$G$990</v>
      </c>
      <c r="J988" s="97">
        <f aca="true" t="array" ref="J988">MATCH(TRUE,ISBLANK(G988:G1000),0)</f>
        <v>3</v>
      </c>
      <c r="K988" s="97">
        <f>J988-3</f>
        <v>0</v>
      </c>
      <c r="L988" s="97"/>
      <c r="M988" s="97"/>
      <c r="N988" s="97"/>
      <c r="O988" s="97"/>
      <c r="P988" s="97"/>
      <c r="Q988" s="97"/>
      <c r="R988" s="97"/>
    </row>
    <row r="989" spans="1:18" ht="15" customHeight="1">
      <c r="A989" s="299" t="s">
        <v>580</v>
      </c>
      <c r="B989" s="299"/>
      <c r="C989" s="247" t="s">
        <v>59</v>
      </c>
      <c r="D989" s="41" t="s">
        <v>29</v>
      </c>
      <c r="E989" s="68">
        <v>0.661</v>
      </c>
      <c r="G989" s="91" t="str">
        <f>CONCATENATE(D989," - ",E989,", ")</f>
        <v>MS iron scrap - 0.661, </v>
      </c>
      <c r="H989" s="297"/>
      <c r="I989" s="97" t="str">
        <f ca="1">IF(J988&gt;=3,(MID(I988,2,1)&amp;MID(I988,4,3)-K988),CELL("address",Z989))</f>
        <v>G990</v>
      </c>
      <c r="J989" s="97" t="str">
        <f ca="1">IF(J988&gt;=4,(MID(I989,1,1)&amp;MID(I989,2,3)+1),CELL("address",AA989))</f>
        <v>$AA$989</v>
      </c>
      <c r="K989" s="97" t="str">
        <f ca="1">IF(J988&gt;=5,(MID(J989,1,1)&amp;MID(J989,2,3)+1),CELL("address",AB989))</f>
        <v>$AB$989</v>
      </c>
      <c r="L989" s="97" t="str">
        <f ca="1">IF(J988&gt;=6,(MID(K989,1,1)&amp;MID(K989,2,3)+1),CELL("address",AC989))</f>
        <v>$AC$989</v>
      </c>
      <c r="M989" s="97" t="str">
        <f ca="1">IF(J988&gt;=7,(MID(L989,1,1)&amp;MID(L989,2,3)+1),CELL("address",AD989))</f>
        <v>$AD$989</v>
      </c>
      <c r="N989" s="97" t="str">
        <f ca="1">IF(J988&gt;=8,(MID(M989,1,1)&amp;MID(M989,2,3)+1),CELL("address",AE989))</f>
        <v>$AE$989</v>
      </c>
      <c r="O989" s="97" t="str">
        <f ca="1">IF(J988&gt;=9,(MID(N989,1,1)&amp;MID(N989,2,3)+1),CELL("address",AF989))</f>
        <v>$AF$989</v>
      </c>
      <c r="P989" s="97" t="str">
        <f ca="1">IF(J988&gt;=10,(MID(O989,1,1)&amp;MID(O989,2,3)+1),CELL("address",AG989))</f>
        <v>$AG$989</v>
      </c>
      <c r="Q989" s="97" t="str">
        <f ca="1">IF(J988&gt;=11,(MID(P989,1,1)&amp;MID(P989,2,3)+1),CELL("address",AH989))</f>
        <v>$AH$989</v>
      </c>
      <c r="R989" s="97" t="str">
        <f ca="1">IF(J988&gt;=12,(MID(Q989,1,1)&amp;MID(Q989,2,3)+1),CELL("address",AI989))</f>
        <v>$AI$989</v>
      </c>
    </row>
    <row r="990" spans="1:18" ht="15" customHeight="1">
      <c r="A990" s="38"/>
      <c r="B990" s="40"/>
      <c r="C990" s="47"/>
      <c r="D990" s="40"/>
      <c r="E990" s="57"/>
      <c r="G990" s="288"/>
      <c r="H990" s="288"/>
      <c r="I990" s="97"/>
      <c r="J990" s="97"/>
      <c r="K990" s="97"/>
      <c r="L990" s="97"/>
      <c r="M990" s="97"/>
      <c r="N990" s="97"/>
      <c r="O990" s="97"/>
      <c r="P990" s="97"/>
      <c r="Q990" s="97"/>
      <c r="R990" s="97"/>
    </row>
    <row r="991" spans="1:18" ht="15" customHeight="1">
      <c r="A991" s="52"/>
      <c r="B991" s="53"/>
      <c r="C991" s="53"/>
      <c r="D991" s="55"/>
      <c r="E991" s="56">
        <f>SUM(E993:E994)</f>
        <v>24</v>
      </c>
      <c r="G991" s="288"/>
      <c r="H991" s="288"/>
      <c r="I991" s="97"/>
      <c r="J991" s="97"/>
      <c r="K991" s="97"/>
      <c r="L991" s="97"/>
      <c r="M991" s="97"/>
      <c r="N991" s="97"/>
      <c r="O991" s="97"/>
      <c r="P991" s="97"/>
      <c r="Q991" s="97"/>
      <c r="R991" s="97"/>
    </row>
    <row r="992" spans="1:18" ht="15" customHeight="1">
      <c r="A992" s="298" t="s">
        <v>5</v>
      </c>
      <c r="B992" s="298"/>
      <c r="C992" s="69" t="s">
        <v>17</v>
      </c>
      <c r="D992" s="281" t="s">
        <v>18</v>
      </c>
      <c r="E992" s="38" t="s">
        <v>69</v>
      </c>
      <c r="G992" s="92" t="str">
        <f>CONCATENATE("U/S Tyres &amp; U/S Tubes, Lying at ",C993,". Quantity in No - ")</f>
        <v>U/S Tyres &amp; U/S Tubes, Lying at S &amp; T Store Bathinda. Quantity in No - </v>
      </c>
      <c r="H992" s="297" t="str">
        <f ca="1">CONCATENATE(G992,G993,(INDIRECT(I993)),(INDIRECT(J993)),(INDIRECT(K993)),(INDIRECT(L993)),(INDIRECT(M993)),(INDIRECT(N993)),(INDIRECT(O993)),(INDIRECT(P993)),(INDIRECT(Q993)),(INDIRECT(R993)),".")</f>
        <v>U/S Tyres &amp; U/S Tubes, Lying at S &amp; T Store Bathinda. Quantity in No - U/S Tyres - 16, U/S Tubes - 8, .</v>
      </c>
      <c r="I992" s="97" t="str">
        <f aca="true" ca="1" t="array" ref="I992">CELL("address",INDEX(G992:G1012,MATCH(TRUE,ISBLANK(G992:G1012),0)))</f>
        <v>$G$995</v>
      </c>
      <c r="J992" s="97">
        <f aca="true" t="array" ref="J992">MATCH(TRUE,ISBLANK(G992:G1012),0)</f>
        <v>4</v>
      </c>
      <c r="K992" s="97">
        <f>J992-3</f>
        <v>1</v>
      </c>
      <c r="L992" s="97"/>
      <c r="M992" s="97"/>
      <c r="N992" s="97"/>
      <c r="O992" s="97"/>
      <c r="P992" s="97"/>
      <c r="Q992" s="97"/>
      <c r="R992" s="97"/>
    </row>
    <row r="993" spans="1:18" ht="15" customHeight="1">
      <c r="A993" s="299" t="s">
        <v>708</v>
      </c>
      <c r="B993" s="299"/>
      <c r="C993" s="300" t="s">
        <v>57</v>
      </c>
      <c r="D993" s="212" t="s">
        <v>336</v>
      </c>
      <c r="E993" s="287">
        <v>16</v>
      </c>
      <c r="G993" s="91" t="str">
        <f>CONCATENATE(D993," - ",E993,", ")</f>
        <v>U/S Tyres - 16, </v>
      </c>
      <c r="H993" s="297"/>
      <c r="I993" s="97" t="str">
        <f ca="1">IF(J992&gt;=3,(MID(I992,2,1)&amp;MID(I992,4,3)-K992),CELL("address",Z993))</f>
        <v>G994</v>
      </c>
      <c r="J993" s="97" t="str">
        <f ca="1">IF(J992&gt;=4,(MID(I993,1,1)&amp;MID(I993,2,3)+1),CELL("address",AA993))</f>
        <v>G995</v>
      </c>
      <c r="K993" s="97" t="str">
        <f ca="1">IF(J992&gt;=5,(MID(J993,1,1)&amp;MID(J993,2,3)+1),CELL("address",AB993))</f>
        <v>$AB$993</v>
      </c>
      <c r="L993" s="97" t="str">
        <f ca="1">IF(J992&gt;=6,(MID(K993,1,1)&amp;MID(K993,2,3)+1),CELL("address",AC993))</f>
        <v>$AC$993</v>
      </c>
      <c r="M993" s="97" t="str">
        <f ca="1">IF(J992&gt;=7,(MID(L993,1,1)&amp;MID(L993,2,3)+1),CELL("address",AD993))</f>
        <v>$AD$993</v>
      </c>
      <c r="N993" s="97" t="str">
        <f ca="1">IF(J992&gt;=8,(MID(M993,1,1)&amp;MID(M993,2,3)+1),CELL("address",AE993))</f>
        <v>$AE$993</v>
      </c>
      <c r="O993" s="97" t="str">
        <f ca="1">IF(J992&gt;=9,(MID(N993,1,1)&amp;MID(N993,2,3)+1),CELL("address",AF993))</f>
        <v>$AF$993</v>
      </c>
      <c r="P993" s="97" t="str">
        <f ca="1">IF(J992&gt;=10,(MID(O993,1,1)&amp;MID(O993,2,3)+1),CELL("address",AG993))</f>
        <v>$AG$993</v>
      </c>
      <c r="Q993" s="97" t="str">
        <f ca="1">IF(J992&gt;=11,(MID(P993,1,1)&amp;MID(P993,2,3)+1),CELL("address",AH993))</f>
        <v>$AH$993</v>
      </c>
      <c r="R993" s="97" t="str">
        <f ca="1">IF(J992&gt;=12,(MID(Q993,1,1)&amp;MID(Q993,2,3)+1),CELL("address",AI993))</f>
        <v>$AI$993</v>
      </c>
    </row>
    <row r="994" spans="1:18" ht="15" customHeight="1">
      <c r="A994" s="299"/>
      <c r="B994" s="299"/>
      <c r="C994" s="300"/>
      <c r="D994" s="212" t="s">
        <v>337</v>
      </c>
      <c r="E994" s="287">
        <v>8</v>
      </c>
      <c r="G994" s="91" t="str">
        <f>CONCATENATE(D994," - ",E994,", ")</f>
        <v>U/S Tubes - 8, </v>
      </c>
      <c r="H994" s="288"/>
      <c r="I994" s="97"/>
      <c r="J994" s="97"/>
      <c r="K994" s="97"/>
      <c r="L994" s="97"/>
      <c r="M994" s="97"/>
      <c r="N994" s="97"/>
      <c r="O994" s="97"/>
      <c r="P994" s="97"/>
      <c r="Q994" s="97"/>
      <c r="R994" s="97"/>
    </row>
    <row r="995" spans="1:18" ht="15" customHeight="1">
      <c r="A995" s="38"/>
      <c r="B995" s="40"/>
      <c r="C995" s="47"/>
      <c r="D995" s="292"/>
      <c r="E995" s="287"/>
      <c r="G995" s="198"/>
      <c r="H995" s="288"/>
      <c r="I995" s="97"/>
      <c r="J995" s="97"/>
      <c r="K995" s="97"/>
      <c r="L995" s="97"/>
      <c r="M995" s="97"/>
      <c r="N995" s="97"/>
      <c r="O995" s="97"/>
      <c r="P995" s="97"/>
      <c r="Q995" s="97"/>
      <c r="R995" s="97"/>
    </row>
    <row r="996" spans="1:8" ht="15" customHeight="1">
      <c r="A996" s="344" t="s">
        <v>285</v>
      </c>
      <c r="B996" s="345"/>
      <c r="C996" s="345"/>
      <c r="D996" s="345"/>
      <c r="E996" s="345"/>
      <c r="H996" s="1"/>
    </row>
    <row r="997" spans="1:8" ht="15" customHeight="1">
      <c r="A997" s="312" t="s">
        <v>5</v>
      </c>
      <c r="B997" s="313"/>
      <c r="C997" s="312" t="s">
        <v>6</v>
      </c>
      <c r="D997" s="313"/>
      <c r="E997" s="208" t="s">
        <v>7</v>
      </c>
      <c r="H997" s="92"/>
    </row>
    <row r="998" spans="1:8" ht="15" customHeight="1">
      <c r="A998" s="299" t="s">
        <v>124</v>
      </c>
      <c r="B998" s="299"/>
      <c r="C998" s="325" t="s">
        <v>112</v>
      </c>
      <c r="D998" s="325"/>
      <c r="E998" s="185">
        <v>1.353</v>
      </c>
      <c r="H998" s="92" t="str">
        <f aca="true" t="shared" si="6" ref="H998:H1014">CONCATENATE("Wooden scrap (without iron parts), Lying at ",C998,". Quantity in MT - ",E998,)</f>
        <v>Wooden scrap (without iron parts), Lying at OL Fazilka. Quantity in MT - 1.353</v>
      </c>
    </row>
    <row r="999" spans="1:8" ht="15" customHeight="1">
      <c r="A999" s="299" t="s">
        <v>127</v>
      </c>
      <c r="B999" s="299"/>
      <c r="C999" s="299" t="s">
        <v>95</v>
      </c>
      <c r="D999" s="299"/>
      <c r="E999" s="185">
        <v>0.421</v>
      </c>
      <c r="H999" s="92" t="str">
        <f t="shared" si="6"/>
        <v>Wooden scrap (without iron parts), Lying at CS Malout. Quantity in MT - 0.421</v>
      </c>
    </row>
    <row r="1000" spans="1:8" ht="15" customHeight="1">
      <c r="A1000" s="299" t="s">
        <v>128</v>
      </c>
      <c r="B1000" s="299"/>
      <c r="C1000" s="325" t="s">
        <v>102</v>
      </c>
      <c r="D1000" s="325"/>
      <c r="E1000" s="68">
        <v>0.597</v>
      </c>
      <c r="H1000" s="92" t="str">
        <f t="shared" si="6"/>
        <v>Wooden scrap (without iron parts), Lying at OL Patran. Quantity in MT - 0.597</v>
      </c>
    </row>
    <row r="1001" spans="1:8" ht="15" customHeight="1">
      <c r="A1001" s="299" t="s">
        <v>129</v>
      </c>
      <c r="B1001" s="299"/>
      <c r="C1001" s="299" t="s">
        <v>43</v>
      </c>
      <c r="D1001" s="299"/>
      <c r="E1001" s="68">
        <v>5.225</v>
      </c>
      <c r="H1001" s="92" t="str">
        <f t="shared" si="6"/>
        <v>Wooden scrap (without iron parts), Lying at CS Kotkapura. Quantity in MT - 5.225</v>
      </c>
    </row>
    <row r="1002" spans="1:8" ht="15" customHeight="1">
      <c r="A1002" s="299" t="s">
        <v>130</v>
      </c>
      <c r="B1002" s="299"/>
      <c r="C1002" s="299" t="s">
        <v>79</v>
      </c>
      <c r="D1002" s="299"/>
      <c r="E1002" s="68">
        <v>2.916</v>
      </c>
      <c r="H1002" s="92" t="str">
        <f t="shared" si="6"/>
        <v>Wooden scrap (without iron parts), Lying at CS Sangrur. Quantity in MT - 2.916</v>
      </c>
    </row>
    <row r="1003" spans="1:8" ht="15" customHeight="1">
      <c r="A1003" s="299" t="s">
        <v>131</v>
      </c>
      <c r="B1003" s="299"/>
      <c r="C1003" s="325" t="s">
        <v>126</v>
      </c>
      <c r="D1003" s="325"/>
      <c r="E1003" s="68">
        <v>1.69</v>
      </c>
      <c r="H1003" s="92" t="str">
        <f t="shared" si="6"/>
        <v>Wooden scrap (without iron parts), Lying at OL Malerkotla. Quantity in MT - 1.69</v>
      </c>
    </row>
    <row r="1004" spans="1:8" ht="15" customHeight="1">
      <c r="A1004" s="299" t="s">
        <v>137</v>
      </c>
      <c r="B1004" s="299"/>
      <c r="C1004" s="325" t="s">
        <v>100</v>
      </c>
      <c r="D1004" s="325"/>
      <c r="E1004" s="68">
        <v>0.612</v>
      </c>
      <c r="H1004" s="92" t="str">
        <f t="shared" si="6"/>
        <v>Wooden scrap (without iron parts), Lying at OL Bhagta Bhai Ka. Quantity in MT - 0.612</v>
      </c>
    </row>
    <row r="1005" spans="1:8" ht="15" customHeight="1">
      <c r="A1005" s="299" t="s">
        <v>138</v>
      </c>
      <c r="B1005" s="299"/>
      <c r="C1005" s="325" t="s">
        <v>59</v>
      </c>
      <c r="D1005" s="325"/>
      <c r="E1005" s="68">
        <v>0.4</v>
      </c>
      <c r="H1005" s="92" t="str">
        <f t="shared" si="6"/>
        <v>Wooden scrap (without iron parts), Lying at OL Mansa. Quantity in MT - 0.4</v>
      </c>
    </row>
    <row r="1006" spans="1:8" ht="15" customHeight="1">
      <c r="A1006" s="299" t="s">
        <v>139</v>
      </c>
      <c r="B1006" s="299"/>
      <c r="C1006" s="299" t="s">
        <v>99</v>
      </c>
      <c r="D1006" s="299"/>
      <c r="E1006" s="68">
        <v>4.27</v>
      </c>
      <c r="H1006" s="92" t="str">
        <f t="shared" si="6"/>
        <v>Wooden scrap (without iron parts), Lying at CS Ferozepur. Quantity in MT - 4.27</v>
      </c>
    </row>
    <row r="1007" spans="1:8" ht="15" customHeight="1">
      <c r="A1007" s="299" t="s">
        <v>140</v>
      </c>
      <c r="B1007" s="299"/>
      <c r="C1007" s="325" t="s">
        <v>267</v>
      </c>
      <c r="D1007" s="337"/>
      <c r="E1007" s="68">
        <v>0.757</v>
      </c>
      <c r="H1007" s="92" t="str">
        <f t="shared" si="6"/>
        <v>Wooden scrap (without iron parts), Lying at OL Moga. Quantity in MT - 0.757</v>
      </c>
    </row>
    <row r="1008" spans="1:8" ht="15" customHeight="1">
      <c r="A1008" s="299" t="s">
        <v>144</v>
      </c>
      <c r="B1008" s="299"/>
      <c r="C1008" s="319" t="s">
        <v>371</v>
      </c>
      <c r="D1008" s="319"/>
      <c r="E1008" s="68">
        <v>0.37</v>
      </c>
      <c r="H1008" s="92" t="str">
        <f t="shared" si="6"/>
        <v>Wooden scrap (without iron parts), Lying at OL Shri Mukatsar Sahib. Quantity in MT - 0.37</v>
      </c>
    </row>
    <row r="1009" spans="1:8" ht="15" customHeight="1">
      <c r="A1009" s="299" t="s">
        <v>370</v>
      </c>
      <c r="B1009" s="299"/>
      <c r="C1009" s="325" t="s">
        <v>189</v>
      </c>
      <c r="D1009" s="325"/>
      <c r="E1009" s="45">
        <v>1.235</v>
      </c>
      <c r="H1009" s="92" t="str">
        <f t="shared" si="6"/>
        <v>Wooden scrap (without iron parts), Lying at OL Barnala. Quantity in MT - 1.235</v>
      </c>
    </row>
    <row r="1010" spans="1:8" ht="15" customHeight="1">
      <c r="A1010" s="299" t="s">
        <v>393</v>
      </c>
      <c r="B1010" s="299"/>
      <c r="C1010" s="319" t="s">
        <v>63</v>
      </c>
      <c r="D1010" s="319"/>
      <c r="E1010" s="45">
        <v>0.264</v>
      </c>
      <c r="H1010" s="92" t="str">
        <f t="shared" si="6"/>
        <v>Wooden scrap (without iron parts), Lying at CS Bathinda. Quantity in MT - 0.264</v>
      </c>
    </row>
    <row r="1011" spans="1:8" ht="15" customHeight="1">
      <c r="A1011" s="299" t="s">
        <v>409</v>
      </c>
      <c r="B1011" s="299"/>
      <c r="C1011" s="325" t="s">
        <v>446</v>
      </c>
      <c r="D1011" s="325"/>
      <c r="E1011" s="45">
        <v>1.305</v>
      </c>
      <c r="H1011" s="92" t="str">
        <f t="shared" si="6"/>
        <v>Wooden scrap (without iron parts), Lying at OLNabha. Quantity in MT - 1.305</v>
      </c>
    </row>
    <row r="1012" spans="1:8" ht="15" customHeight="1">
      <c r="A1012" s="299" t="s">
        <v>437</v>
      </c>
      <c r="B1012" s="299"/>
      <c r="C1012" s="325" t="s">
        <v>577</v>
      </c>
      <c r="D1012" s="337"/>
      <c r="E1012" s="45">
        <v>0.4</v>
      </c>
      <c r="H1012" s="92" t="str">
        <f t="shared" si="6"/>
        <v>Wooden scrap (without iron parts), Lying at OLRajpura. Quantity in MT - 0.4</v>
      </c>
    </row>
    <row r="1013" spans="1:8" ht="15" customHeight="1">
      <c r="A1013" s="299" t="s">
        <v>445</v>
      </c>
      <c r="B1013" s="299"/>
      <c r="C1013" s="319" t="s">
        <v>62</v>
      </c>
      <c r="D1013" s="319"/>
      <c r="E1013" s="45">
        <v>2.22</v>
      </c>
      <c r="H1013" s="92" t="str">
        <f t="shared" si="6"/>
        <v>Wooden scrap (without iron parts), Lying at CS Mohali. Quantity in MT - 2.22</v>
      </c>
    </row>
    <row r="1014" spans="1:8" ht="15" customHeight="1" thickBot="1">
      <c r="A1014" s="299" t="s">
        <v>584</v>
      </c>
      <c r="B1014" s="299"/>
      <c r="C1014" s="325" t="s">
        <v>98</v>
      </c>
      <c r="D1014" s="325"/>
      <c r="E1014" s="45">
        <v>0.814</v>
      </c>
      <c r="H1014" s="92" t="str">
        <f t="shared" si="6"/>
        <v>Wooden scrap (without iron parts), Lying at OL Ropar. Quantity in MT - 0.814</v>
      </c>
    </row>
    <row r="1015" spans="1:8" ht="15" customHeight="1" thickBot="1">
      <c r="A1015" s="314" t="s">
        <v>14</v>
      </c>
      <c r="B1015" s="315"/>
      <c r="C1015" s="213"/>
      <c r="D1015" s="213"/>
      <c r="E1015" s="161">
        <f>SUM(E998:E1014)</f>
        <v>24.849</v>
      </c>
      <c r="H1015" s="92"/>
    </row>
    <row r="1016" spans="1:8" ht="15" customHeight="1">
      <c r="A1016" s="18"/>
      <c r="B1016" s="18"/>
      <c r="C1016" s="15"/>
      <c r="D1016" s="15"/>
      <c r="E1016" s="162"/>
      <c r="H1016" s="1"/>
    </row>
    <row r="1017" spans="1:8" ht="15" customHeight="1">
      <c r="A1017" s="373" t="s">
        <v>11</v>
      </c>
      <c r="B1017" s="374"/>
      <c r="C1017" s="374"/>
      <c r="D1017" s="374"/>
      <c r="E1017" s="374"/>
      <c r="H1017" s="1"/>
    </row>
    <row r="1018" spans="1:8" ht="15" customHeight="1">
      <c r="A1018" s="16"/>
      <c r="B1018" s="17"/>
      <c r="C1018" s="17"/>
      <c r="D1018" s="17"/>
      <c r="E1018" s="17"/>
      <c r="H1018" s="1"/>
    </row>
    <row r="1019" spans="1:8" ht="15" customHeight="1">
      <c r="A1019" s="340" t="s">
        <v>8</v>
      </c>
      <c r="B1019" s="341"/>
      <c r="C1019" s="341"/>
      <c r="D1019" s="341"/>
      <c r="E1019" s="341"/>
      <c r="G1019" s="249"/>
      <c r="H1019" s="1"/>
    </row>
    <row r="1020" spans="1:8" ht="15" customHeight="1">
      <c r="A1020" s="39" t="s">
        <v>5</v>
      </c>
      <c r="B1020" s="300" t="s">
        <v>17</v>
      </c>
      <c r="C1020" s="300"/>
      <c r="D1020" s="207" t="s">
        <v>18</v>
      </c>
      <c r="E1020" s="38" t="s">
        <v>76</v>
      </c>
      <c r="H1020" s="1"/>
    </row>
    <row r="1021" spans="1:8" ht="15" customHeight="1">
      <c r="A1021" s="39" t="s">
        <v>78</v>
      </c>
      <c r="B1021" s="322" t="s">
        <v>108</v>
      </c>
      <c r="C1021" s="322"/>
      <c r="D1021" s="39" t="s">
        <v>77</v>
      </c>
      <c r="E1021" s="158">
        <v>44</v>
      </c>
      <c r="H1021" s="92" t="str">
        <f>CONCATENATE("CT/PT Units, Lying at ",B1021,". Quantity in No - ",E1021,)</f>
        <v>CT/PT Units, Lying at Central Store Kotkapura. Quantity in No - 44</v>
      </c>
    </row>
    <row r="1022" spans="1:8" ht="15" customHeight="1">
      <c r="A1022" s="38"/>
      <c r="B1022" s="77"/>
      <c r="C1022" s="77"/>
      <c r="D1022" s="40"/>
      <c r="E1022" s="159"/>
      <c r="H1022" s="92"/>
    </row>
    <row r="1023" spans="1:8" ht="15" customHeight="1">
      <c r="A1023" s="39" t="s">
        <v>5</v>
      </c>
      <c r="B1023" s="300" t="s">
        <v>17</v>
      </c>
      <c r="C1023" s="300"/>
      <c r="D1023" s="207" t="s">
        <v>18</v>
      </c>
      <c r="E1023" s="38" t="s">
        <v>76</v>
      </c>
      <c r="H1023" s="1"/>
    </row>
    <row r="1024" spans="1:8" ht="15" customHeight="1">
      <c r="A1024" s="39" t="s">
        <v>121</v>
      </c>
      <c r="B1024" s="322" t="s">
        <v>159</v>
      </c>
      <c r="C1024" s="322"/>
      <c r="D1024" s="39" t="s">
        <v>77</v>
      </c>
      <c r="E1024" s="158">
        <v>35</v>
      </c>
      <c r="H1024" s="92" t="str">
        <f>CONCATENATE("CT/PT Units, Lying at ",B1024,". Quantity in No - ",E1024,)</f>
        <v>CT/PT Units, Lying at Central Store Patiala. Quantity in No - 35</v>
      </c>
    </row>
    <row r="1025" spans="1:8" ht="15" customHeight="1">
      <c r="A1025" s="38"/>
      <c r="B1025" s="83"/>
      <c r="C1025" s="83"/>
      <c r="D1025" s="40"/>
      <c r="E1025" s="159"/>
      <c r="H1025" s="1"/>
    </row>
    <row r="1026" spans="1:8" ht="15" customHeight="1">
      <c r="A1026" s="39" t="s">
        <v>5</v>
      </c>
      <c r="B1026" s="300" t="s">
        <v>17</v>
      </c>
      <c r="C1026" s="300"/>
      <c r="D1026" s="207" t="s">
        <v>18</v>
      </c>
      <c r="E1026" s="38" t="s">
        <v>76</v>
      </c>
      <c r="H1026" s="1"/>
    </row>
    <row r="1027" spans="1:8" ht="15" customHeight="1">
      <c r="A1027" s="39" t="s">
        <v>196</v>
      </c>
      <c r="B1027" s="322" t="s">
        <v>184</v>
      </c>
      <c r="C1027" s="322"/>
      <c r="D1027" s="39" t="s">
        <v>77</v>
      </c>
      <c r="E1027" s="158">
        <v>74</v>
      </c>
      <c r="H1027" s="92" t="str">
        <f>CONCATENATE("CT/PT Units, Lying at ",B1027,". Quantity in No - ",E1027,)</f>
        <v>CT/PT Units, Lying at Outlet store Ropar. Quantity in No - 74</v>
      </c>
    </row>
    <row r="1028" spans="1:8" ht="15" customHeight="1">
      <c r="A1028" s="38"/>
      <c r="B1028" s="83"/>
      <c r="C1028" s="83"/>
      <c r="D1028" s="215"/>
      <c r="E1028" s="163"/>
      <c r="H1028" s="1"/>
    </row>
    <row r="1029" spans="1:8" ht="15" customHeight="1">
      <c r="A1029" s="39" t="s">
        <v>5</v>
      </c>
      <c r="B1029" s="300" t="s">
        <v>17</v>
      </c>
      <c r="C1029" s="300"/>
      <c r="D1029" s="207" t="s">
        <v>18</v>
      </c>
      <c r="E1029" s="38" t="s">
        <v>76</v>
      </c>
      <c r="H1029" s="1"/>
    </row>
    <row r="1030" spans="1:8" ht="15" customHeight="1">
      <c r="A1030" s="39" t="s">
        <v>205</v>
      </c>
      <c r="B1030" s="322" t="s">
        <v>208</v>
      </c>
      <c r="C1030" s="322"/>
      <c r="D1030" s="39" t="s">
        <v>77</v>
      </c>
      <c r="E1030" s="158">
        <v>62</v>
      </c>
      <c r="H1030" s="92" t="str">
        <f>CONCATENATE("CT/PT Units, Lying at ",B1030,". Quantity in No - ",E1030,)</f>
        <v>CT/PT Units, Lying at Central Store Sangrur. Quantity in No - 62</v>
      </c>
    </row>
    <row r="1031" spans="1:8" ht="15" customHeight="1">
      <c r="A1031" s="38"/>
      <c r="B1031" s="83"/>
      <c r="C1031" s="83"/>
      <c r="D1031" s="40"/>
      <c r="E1031" s="159"/>
      <c r="H1031" s="1"/>
    </row>
    <row r="1032" spans="1:8" ht="15" customHeight="1">
      <c r="A1032" s="39" t="s">
        <v>5</v>
      </c>
      <c r="B1032" s="300" t="s">
        <v>17</v>
      </c>
      <c r="C1032" s="300"/>
      <c r="D1032" s="207" t="s">
        <v>18</v>
      </c>
      <c r="E1032" s="38" t="s">
        <v>76</v>
      </c>
      <c r="H1032" s="1"/>
    </row>
    <row r="1033" spans="1:8" ht="15" customHeight="1">
      <c r="A1033" s="39" t="s">
        <v>276</v>
      </c>
      <c r="B1033" s="322" t="s">
        <v>286</v>
      </c>
      <c r="C1033" s="322"/>
      <c r="D1033" s="39" t="s">
        <v>77</v>
      </c>
      <c r="E1033" s="158">
        <v>50</v>
      </c>
      <c r="H1033" s="92" t="str">
        <f>CONCATENATE("CT/PT Units, Lying at ",B1033,". Quantity in No - ",E1033,)</f>
        <v>CT/PT Units, Lying at Central Store Bathinda. Quantity in No - 50</v>
      </c>
    </row>
    <row r="1034" spans="1:8" ht="15" customHeight="1">
      <c r="A1034" s="38"/>
      <c r="B1034" s="83"/>
      <c r="C1034" s="83"/>
      <c r="D1034" s="40"/>
      <c r="E1034" s="159"/>
      <c r="G1034" s="249"/>
      <c r="H1034" s="1"/>
    </row>
    <row r="1035" spans="1:8" ht="15" customHeight="1">
      <c r="A1035" s="39" t="s">
        <v>5</v>
      </c>
      <c r="B1035" s="300" t="s">
        <v>17</v>
      </c>
      <c r="C1035" s="300"/>
      <c r="D1035" s="207" t="s">
        <v>18</v>
      </c>
      <c r="E1035" s="38" t="s">
        <v>76</v>
      </c>
      <c r="H1035" s="1"/>
    </row>
    <row r="1036" spans="1:8" ht="15" customHeight="1">
      <c r="A1036" s="39" t="s">
        <v>287</v>
      </c>
      <c r="B1036" s="322" t="s">
        <v>108</v>
      </c>
      <c r="C1036" s="322"/>
      <c r="D1036" s="39" t="s">
        <v>277</v>
      </c>
      <c r="E1036" s="158">
        <v>168</v>
      </c>
      <c r="H1036" s="92" t="str">
        <f>CONCATENATE("Empty steel drums (cap 209 ltrs), Lying at ",B1036,". Quantity in No - ",E1036,)</f>
        <v>Empty steel drums (cap 209 ltrs), Lying at Central Store Kotkapura. Quantity in No - 168</v>
      </c>
    </row>
    <row r="1037" spans="1:8" ht="15" customHeight="1">
      <c r="A1037" s="38"/>
      <c r="B1037" s="83"/>
      <c r="C1037" s="83"/>
      <c r="D1037" s="40"/>
      <c r="E1037" s="159"/>
      <c r="H1037" s="1"/>
    </row>
    <row r="1038" spans="1:8" ht="15" customHeight="1">
      <c r="A1038" s="39" t="s">
        <v>5</v>
      </c>
      <c r="B1038" s="300" t="s">
        <v>17</v>
      </c>
      <c r="C1038" s="300"/>
      <c r="D1038" s="207" t="s">
        <v>18</v>
      </c>
      <c r="E1038" s="38" t="s">
        <v>76</v>
      </c>
      <c r="H1038" s="1"/>
    </row>
    <row r="1039" spans="1:8" ht="15" customHeight="1">
      <c r="A1039" s="39" t="s">
        <v>311</v>
      </c>
      <c r="B1039" s="322" t="s">
        <v>310</v>
      </c>
      <c r="C1039" s="322"/>
      <c r="D1039" s="39" t="s">
        <v>277</v>
      </c>
      <c r="E1039" s="158">
        <v>53</v>
      </c>
      <c r="H1039" s="92" t="str">
        <f>CONCATENATE("Empty steel drums (cap 209 ltrs), Lying at ",B1039,". Quantity in No - ",E1039,)</f>
        <v>Empty steel drums (cap 209 ltrs), Lying at Central Store Malout. Quantity in No - 53</v>
      </c>
    </row>
    <row r="1040" spans="1:8" ht="15" customHeight="1">
      <c r="A1040" s="38"/>
      <c r="B1040" s="83"/>
      <c r="C1040" s="83"/>
      <c r="D1040" s="215"/>
      <c r="E1040" s="163"/>
      <c r="H1040" s="1"/>
    </row>
    <row r="1041" spans="1:8" ht="15" customHeight="1">
      <c r="A1041" s="39" t="s">
        <v>5</v>
      </c>
      <c r="B1041" s="300" t="s">
        <v>17</v>
      </c>
      <c r="C1041" s="300"/>
      <c r="D1041" s="207" t="s">
        <v>18</v>
      </c>
      <c r="E1041" s="38" t="s">
        <v>76</v>
      </c>
      <c r="H1041" s="1"/>
    </row>
    <row r="1042" spans="1:8" ht="15" customHeight="1">
      <c r="A1042" s="39" t="s">
        <v>321</v>
      </c>
      <c r="B1042" s="322" t="s">
        <v>184</v>
      </c>
      <c r="C1042" s="322"/>
      <c r="D1042" s="39" t="s">
        <v>277</v>
      </c>
      <c r="E1042" s="158">
        <v>13</v>
      </c>
      <c r="F1042" s="93"/>
      <c r="G1042" s="93"/>
      <c r="H1042" s="92" t="str">
        <f>CONCATENATE("Empty steel drums (cap 209 ltrs), Lying at ",B1042,". Quantity in No - ",E1042,)</f>
        <v>Empty steel drums (cap 209 ltrs), Lying at Outlet store Ropar. Quantity in No - 13</v>
      </c>
    </row>
    <row r="1043" spans="1:8" ht="12.75" customHeight="1">
      <c r="A1043" s="38"/>
      <c r="B1043" s="83"/>
      <c r="C1043" s="83"/>
      <c r="D1043" s="215"/>
      <c r="E1043" s="163"/>
      <c r="H1043" s="94"/>
    </row>
    <row r="1044" spans="1:8" ht="12.75" customHeight="1">
      <c r="A1044" s="316" t="s">
        <v>16</v>
      </c>
      <c r="B1044" s="317"/>
      <c r="C1044" s="317"/>
      <c r="D1044" s="317"/>
      <c r="E1044" s="317"/>
      <c r="H1044" s="1"/>
    </row>
    <row r="1045" spans="1:8" ht="12.75" customHeight="1">
      <c r="A1045" s="19"/>
      <c r="B1045" s="20"/>
      <c r="C1045" s="20"/>
      <c r="D1045" s="20"/>
      <c r="E1045" s="20"/>
      <c r="H1045" s="1"/>
    </row>
    <row r="1046" spans="1:8" ht="25.5" customHeight="1">
      <c r="A1046" s="320" t="s">
        <v>15</v>
      </c>
      <c r="B1046" s="321"/>
      <c r="C1046" s="321"/>
      <c r="D1046" s="321"/>
      <c r="E1046" s="321"/>
      <c r="H1046" s="1"/>
    </row>
    <row r="1047" spans="1:8" ht="15" customHeight="1">
      <c r="A1047" s="210"/>
      <c r="B1047" s="211"/>
      <c r="C1047" s="211"/>
      <c r="D1047" s="211"/>
      <c r="E1047" s="211"/>
      <c r="H1047" s="1"/>
    </row>
    <row r="1048" spans="1:8" ht="15" customHeight="1">
      <c r="A1048" s="342" t="s">
        <v>49</v>
      </c>
      <c r="B1048" s="343"/>
      <c r="C1048" s="343"/>
      <c r="D1048" s="343"/>
      <c r="E1048" s="343"/>
      <c r="H1048" s="1"/>
    </row>
    <row r="1049" spans="1:8" ht="29.25" customHeight="1">
      <c r="A1049" s="14" t="s">
        <v>5</v>
      </c>
      <c r="B1049" s="14" t="s">
        <v>1</v>
      </c>
      <c r="C1049" s="14" t="s">
        <v>2</v>
      </c>
      <c r="D1049" s="14" t="s">
        <v>3</v>
      </c>
      <c r="E1049" s="164" t="s">
        <v>4</v>
      </c>
      <c r="H1049" s="1"/>
    </row>
    <row r="1050" spans="1:8" ht="29.25" customHeight="1">
      <c r="A1050" s="11" t="s">
        <v>109</v>
      </c>
      <c r="B1050" s="11" t="s">
        <v>88</v>
      </c>
      <c r="C1050" s="11" t="s">
        <v>105</v>
      </c>
      <c r="D1050" s="11" t="s">
        <v>89</v>
      </c>
      <c r="E1050" s="23" t="s">
        <v>252</v>
      </c>
      <c r="H1050" s="99" t="str">
        <f>CONCATENATE("Condemned/obsolete Vehicles  (Without RC )--- ",B1050," ",C1050," ",E1050," ",)</f>
        <v>Condemned/obsolete Vehicles  (Without RC )--- PB-11 AH-0925 HONDA CIVIC CAR (PETROL) 2008 …. CE/ TA &amp; I PSPCL PATIALA 96461-19587 </v>
      </c>
    </row>
    <row r="1051" spans="1:8" ht="29.25" customHeight="1">
      <c r="A1051" s="11" t="s">
        <v>151</v>
      </c>
      <c r="B1051" s="22" t="s">
        <v>148</v>
      </c>
      <c r="C1051" s="22" t="s">
        <v>149</v>
      </c>
      <c r="D1051" s="22" t="s">
        <v>150</v>
      </c>
      <c r="E1051" s="86" t="s">
        <v>253</v>
      </c>
      <c r="H1051" s="99" t="str">
        <f>CONCATENATE("Condemned/obsolete Vehicles  (Without RC )--- ",B1051," ",C1051," ",E1051," ",)</f>
        <v>Condemned/obsolete Vehicles  (Without RC )--- PB-05 F-9520 MINI TRUCK EICHER DIESEL (1999) ….. DS S/D MAMDOT PSPCL FEROZEPUR MOB 9646114589 </v>
      </c>
    </row>
    <row r="1052" spans="1:8" ht="29.25" customHeight="1">
      <c r="A1052" s="11" t="s">
        <v>154</v>
      </c>
      <c r="B1052" s="22" t="s">
        <v>155</v>
      </c>
      <c r="C1052" s="22" t="s">
        <v>156</v>
      </c>
      <c r="D1052" s="22" t="s">
        <v>157</v>
      </c>
      <c r="E1052" s="86" t="s">
        <v>254</v>
      </c>
      <c r="F1052" s="97"/>
      <c r="G1052" s="97"/>
      <c r="H1052" s="99" t="str">
        <f>CONCATENATE("Condemned/obsolete Vehicles  (Without RC )--- ",B1052," ",C1052," ",E1052," ",)</f>
        <v>Condemned/obsolete Vehicles  (Without RC )--- PB-03 N-5547 AMBASSADOR CAR DIESEL (2005) ….. DS DIVISION BADAL 96461-14534 </v>
      </c>
    </row>
    <row r="1053" spans="1:15" ht="37.5" customHeight="1">
      <c r="A1053" s="11" t="s">
        <v>715</v>
      </c>
      <c r="B1053" s="295" t="s">
        <v>713</v>
      </c>
      <c r="C1053" s="295" t="s">
        <v>716</v>
      </c>
      <c r="D1053" s="295" t="s">
        <v>714</v>
      </c>
      <c r="E1053" s="295" t="s">
        <v>717</v>
      </c>
      <c r="F1053" s="97"/>
      <c r="G1053" s="97"/>
      <c r="H1053" s="99" t="str">
        <f>CONCATENATE("Condemned/obsolete Vehicles  (Without RC )--- ",B1053," ",C1053," ",E1053," ",)</f>
        <v>Condemned/obsolete Vehicles  (Without RC )--- PCP-4990 MAHINDRA PICK UP  WITHOUT HYDRAULIC CRANE SYSTEM (1985) CIVIL LINES TECH S/D PATIALA 96461-28609 </v>
      </c>
      <c r="I1053" s="97"/>
      <c r="J1053" s="97"/>
      <c r="K1053" s="97"/>
      <c r="L1053" s="97"/>
      <c r="M1053" s="97"/>
      <c r="N1053" s="97"/>
      <c r="O1053" s="97"/>
    </row>
    <row r="1054" spans="1:15" ht="16.5" customHeight="1">
      <c r="A1054" s="23"/>
      <c r="B1054" s="296"/>
      <c r="C1054" s="296"/>
      <c r="D1054" s="296"/>
      <c r="E1054" s="296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</row>
    <row r="1055" spans="1:15" ht="15" customHeight="1">
      <c r="A1055" s="338" t="s">
        <v>50</v>
      </c>
      <c r="B1055" s="339"/>
      <c r="C1055" s="339"/>
      <c r="D1055" s="339"/>
      <c r="E1055" s="339"/>
      <c r="H1055" s="97"/>
      <c r="I1055" s="97" t="str">
        <f ca="1">IF(G1052&gt;=6,(MID(H1055,1,1)&amp;MID(H1055,2,4)+1),CELL("address",Z1055))</f>
        <v>$Z$1055</v>
      </c>
      <c r="J1055" s="97" t="str">
        <f ca="1">IF(G1052&gt;=7,(MID(I1055,1,1)&amp;MID(I1055,2,4)+1),CELL("address",AA1055))</f>
        <v>$AA$1055</v>
      </c>
      <c r="K1055" s="97" t="str">
        <f ca="1">IF(G1052&gt;=8,(MID(J1055,1,1)&amp;MID(J1055,2,4)+1),CELL("address",AB1055))</f>
        <v>$AB$1055</v>
      </c>
      <c r="L1055" s="97" t="str">
        <f ca="1">IF(G1052&gt;=9,(MID(K1055,1,1)&amp;MID(K1055,2,4)+1),CELL("address",AC1055))</f>
        <v>$AC$1055</v>
      </c>
      <c r="M1055" s="97" t="str">
        <f ca="1">IF(G1052&gt;=10,(MID(L1055,1,1)&amp;MID(L1055,2,4)+1),CELL("address",AD1055))</f>
        <v>$AD$1055</v>
      </c>
      <c r="N1055" s="97" t="str">
        <f ca="1">IF(G1052&gt;=11,(MID(M1055,1,1)&amp;MID(M1055,2,4)+1),CELL("address",AE1055))</f>
        <v>$AE$1055</v>
      </c>
      <c r="O1055" s="97" t="str">
        <f ca="1">IF(G1052&gt;=12,(MID(N1055,1,1)&amp;MID(N1055,2,4)+1),CELL("address",AF1055))</f>
        <v>$AF$1055</v>
      </c>
    </row>
    <row r="1056" spans="1:8" ht="15" customHeight="1">
      <c r="A1056" s="323" t="s">
        <v>106</v>
      </c>
      <c r="B1056" s="324"/>
      <c r="C1056" s="324"/>
      <c r="D1056" s="324"/>
      <c r="E1056" s="324"/>
      <c r="H1056" s="1"/>
    </row>
    <row r="1057" spans="1:8" ht="15" customHeight="1">
      <c r="A1057" s="6"/>
      <c r="B1057" s="7"/>
      <c r="C1057" s="7"/>
      <c r="D1057" s="7"/>
      <c r="E1057" s="7"/>
      <c r="F1057" s="119"/>
      <c r="H1057" s="1"/>
    </row>
    <row r="1058" spans="1:20" ht="15" customHeight="1">
      <c r="A1058" s="316" t="s">
        <v>25</v>
      </c>
      <c r="B1058" s="317"/>
      <c r="C1058" s="317"/>
      <c r="D1058" s="317"/>
      <c r="E1058" s="317"/>
      <c r="H1058" s="1"/>
      <c r="Q1058" s="334"/>
      <c r="R1058" s="334"/>
      <c r="S1058" s="334"/>
      <c r="T1058" s="334"/>
    </row>
    <row r="1059" spans="1:8" ht="15" customHeight="1">
      <c r="A1059" s="60"/>
      <c r="B1059" s="60"/>
      <c r="C1059" s="61"/>
      <c r="D1059" s="61"/>
      <c r="E1059" s="62">
        <f>SUM(E1061:E1064)</f>
        <v>4.129</v>
      </c>
      <c r="G1059" s="288"/>
      <c r="H1059" s="288"/>
    </row>
    <row r="1060" spans="1:18" ht="17.25" customHeight="1">
      <c r="A1060" s="301" t="s">
        <v>5</v>
      </c>
      <c r="B1060" s="306"/>
      <c r="C1060" s="63" t="s">
        <v>17</v>
      </c>
      <c r="D1060" s="64" t="s">
        <v>18</v>
      </c>
      <c r="E1060" s="67" t="s">
        <v>7</v>
      </c>
      <c r="F1060" s="97"/>
      <c r="G1060" s="166" t="str">
        <f>CONCATENATE("Misc. Healthy parts/ Non Ferrous  Scrap, Lying at ",C1061,". Quantity in MT - ")</f>
        <v>Misc. Healthy parts/ Non Ferrous  Scrap, Lying at TRY Bathinda. Quantity in MT - </v>
      </c>
      <c r="H1060" s="297" t="str">
        <f ca="1">CONCATENATE(G1060,G1061,(INDIRECT(I1061)),(INDIRECT(J1061)),(INDIRECT(K1061)),(INDIRECT(L1061)),(INDIRECT(M1061)),(INDIRECT(N1061)),(INDIRECT(O1061)),(INDIRECT(P1061)),(INDIRECT(Q1061)),(INDIRECT(R1061)),".")</f>
        <v>Misc. Healthy parts/ Non Ferrous  Scrap, Lying at TRY Bathinda. Quantity in MT - Brass scrap - 2.683, Misc. Aluminium scrap - 0.893, Burnt Cu scrap - 0.203, Nuts &amp; Bolts scrap - 0.35, .</v>
      </c>
      <c r="I1060" s="97" t="str">
        <f aca="true" ca="1" t="array" ref="I1060">CELL("address",INDEX(G1060:G1082,MATCH(TRUE,ISBLANK(G1060:G1082),0)))</f>
        <v>$G$1065</v>
      </c>
      <c r="J1060" s="97">
        <f aca="true" t="array" ref="J1060">MATCH(TRUE,ISBLANK(G1060:G1082),0)</f>
        <v>6</v>
      </c>
      <c r="K1060" s="97">
        <f>J1060-3</f>
        <v>3</v>
      </c>
      <c r="L1060" s="97"/>
      <c r="M1060" s="97"/>
      <c r="N1060" s="97"/>
      <c r="O1060" s="97"/>
      <c r="P1060" s="97"/>
      <c r="Q1060" s="97"/>
      <c r="R1060" s="97"/>
    </row>
    <row r="1061" spans="1:18" ht="17.25" customHeight="1">
      <c r="A1061" s="299" t="s">
        <v>34</v>
      </c>
      <c r="B1061" s="299"/>
      <c r="C1061" s="300" t="s">
        <v>36</v>
      </c>
      <c r="D1061" s="39" t="s">
        <v>23</v>
      </c>
      <c r="E1061" s="68">
        <v>2.683</v>
      </c>
      <c r="F1061" s="97"/>
      <c r="G1061" s="100" t="str">
        <f>CONCATENATE(D1061," - ",E1061,", ")</f>
        <v>Brass scrap - 2.683, </v>
      </c>
      <c r="H1061" s="297"/>
      <c r="I1061" s="97" t="str">
        <f ca="1">IF(J1060&gt;=3,(MID(I1060,2,1)&amp;MID(I1060,4,4)-K1060),CELL("address",Z1061))</f>
        <v>G1062</v>
      </c>
      <c r="J1061" s="97" t="str">
        <f ca="1">IF(J1060&gt;=4,(MID(I1061,1,1)&amp;MID(I1061,2,4)+1),CELL("address",AA1061))</f>
        <v>G1063</v>
      </c>
      <c r="K1061" s="97" t="str">
        <f ca="1">IF(J1060&gt;=5,(MID(J1061,1,1)&amp;MID(J1061,2,4)+1),CELL("address",AB1061))</f>
        <v>G1064</v>
      </c>
      <c r="L1061" s="97" t="str">
        <f ca="1">IF(J1060&gt;=6,(MID(K1061,1,1)&amp;MID(K1061,2,4)+1),CELL("address",AC1061))</f>
        <v>G1065</v>
      </c>
      <c r="M1061" s="97" t="str">
        <f ca="1">IF(J1060&gt;=7,(MID(L1061,1,1)&amp;MID(L1061,2,4)+1),CELL("address",AD1061))</f>
        <v>$AD$1061</v>
      </c>
      <c r="N1061" s="97" t="str">
        <f ca="1">IF(J1060&gt;=8,(MID(M1061,1,1)&amp;MID(M1061,2,4)+1),CELL("address",AE1061))</f>
        <v>$AE$1061</v>
      </c>
      <c r="O1061" s="97" t="str">
        <f ca="1">IF(J1060&gt;=9,(MID(N1061,1,1)&amp;MID(N1061,2,4)+1),CELL("address",AF1061))</f>
        <v>$AF$1061</v>
      </c>
      <c r="P1061" s="97" t="str">
        <f ca="1">IF(J1060&gt;=10,(MID(O1061,1,1)&amp;MID(O1061,2,4)+1),CELL("address",AG1061))</f>
        <v>$AG$1061</v>
      </c>
      <c r="Q1061" s="97" t="str">
        <f ca="1">IF(J1060&gt;=11,(MID(P1061,1,1)&amp;MID(P1061,2,4)+1),CELL("address",AH1061))</f>
        <v>$AH$1061</v>
      </c>
      <c r="R1061" s="97" t="str">
        <f ca="1">IF(J1060&gt;=12,(MID(Q1061,1,1)&amp;MID(Q1061,2,4)+1),CELL("address",AI1061))</f>
        <v>$AI$1061</v>
      </c>
    </row>
    <row r="1062" spans="1:15" ht="17.25" customHeight="1">
      <c r="A1062" s="299"/>
      <c r="B1062" s="299"/>
      <c r="C1062" s="300"/>
      <c r="D1062" s="39" t="s">
        <v>24</v>
      </c>
      <c r="E1062" s="68">
        <v>0.893</v>
      </c>
      <c r="G1062" s="100" t="str">
        <f>CONCATENATE(D1062," - ",E1062,", ")</f>
        <v>Misc. Aluminium scrap - 0.893, </v>
      </c>
      <c r="H1062" s="97"/>
      <c r="I1062" s="97" t="e">
        <f ca="1">IF(G1061&gt;=6,(MID(H1062,1,1)&amp;MID(H1062,2,4)+1),CELL("address",Z1062))</f>
        <v>#VALUE!</v>
      </c>
      <c r="J1062" s="97" t="e">
        <f ca="1">IF(G1061&gt;=7,(MID(I1062,1,1)&amp;MID(I1062,2,4)+1),CELL("address",AA1062))</f>
        <v>#VALUE!</v>
      </c>
      <c r="K1062" s="97" t="e">
        <f ca="1">IF(G1061&gt;=8,(MID(J1062,1,1)&amp;MID(J1062,2,4)+1),CELL("address",AB1062))</f>
        <v>#VALUE!</v>
      </c>
      <c r="L1062" s="97" t="e">
        <f ca="1">IF(G1061&gt;=9,(MID(K1062,1,1)&amp;MID(K1062,2,4)+1),CELL("address",AC1062))</f>
        <v>#VALUE!</v>
      </c>
      <c r="M1062" s="97" t="e">
        <f ca="1">IF(G1061&gt;=10,(MID(L1062,1,1)&amp;MID(L1062,2,4)+1),CELL("address",AD1062))</f>
        <v>#VALUE!</v>
      </c>
      <c r="N1062" s="97" t="e">
        <f ca="1">IF(G1061&gt;=11,(MID(M1062,1,1)&amp;MID(M1062,2,4)+1),CELL("address",AE1062))</f>
        <v>#VALUE!</v>
      </c>
      <c r="O1062" s="97" t="e">
        <f ca="1">IF(G1061&gt;=12,(MID(N1062,1,1)&amp;MID(N1062,2,4)+1),CELL("address",AF1062))</f>
        <v>#VALUE!</v>
      </c>
    </row>
    <row r="1063" spans="1:8" ht="17.25" customHeight="1">
      <c r="A1063" s="299"/>
      <c r="B1063" s="299"/>
      <c r="C1063" s="300"/>
      <c r="D1063" s="39" t="s">
        <v>37</v>
      </c>
      <c r="E1063" s="68">
        <v>0.203</v>
      </c>
      <c r="G1063" s="100" t="str">
        <f>CONCATENATE(D1063," - ",E1063,", ")</f>
        <v>Burnt Cu scrap - 0.203, </v>
      </c>
      <c r="H1063" s="1"/>
    </row>
    <row r="1064" spans="1:8" ht="17.25" customHeight="1">
      <c r="A1064" s="299"/>
      <c r="B1064" s="299"/>
      <c r="C1064" s="300"/>
      <c r="D1064" s="39" t="s">
        <v>58</v>
      </c>
      <c r="E1064" s="68">
        <v>0.35</v>
      </c>
      <c r="G1064" s="100" t="str">
        <f>CONCATENATE(D1064," - ",E1064,", ")</f>
        <v>Nuts &amp; Bolts scrap - 0.35, </v>
      </c>
      <c r="H1064" s="1"/>
    </row>
    <row r="1065" spans="1:8" ht="17.25" customHeight="1">
      <c r="A1065" s="301"/>
      <c r="B1065" s="306"/>
      <c r="C1065" s="250"/>
      <c r="D1065" s="39"/>
      <c r="E1065" s="68"/>
      <c r="H1065" s="1"/>
    </row>
    <row r="1066" spans="1:8" ht="15" customHeight="1">
      <c r="A1066" s="310"/>
      <c r="B1066" s="311"/>
      <c r="C1066" s="65"/>
      <c r="D1066" s="65"/>
      <c r="E1066" s="117">
        <f>SUM(E1068:E1073)</f>
        <v>12.472</v>
      </c>
      <c r="H1066" s="1"/>
    </row>
    <row r="1067" spans="1:18" ht="15" customHeight="1">
      <c r="A1067" s="326" t="s">
        <v>5</v>
      </c>
      <c r="B1067" s="327"/>
      <c r="C1067" s="63" t="s">
        <v>17</v>
      </c>
      <c r="D1067" s="64" t="s">
        <v>18</v>
      </c>
      <c r="E1067" s="67" t="s">
        <v>7</v>
      </c>
      <c r="G1067" s="166" t="str">
        <f>CONCATENATE("Misc. Healthy parts/ Non Ferrous  Scrap, Lying at ",C1068,". Quantity in MT - ")</f>
        <v>Misc. Healthy parts/ Non Ferrous  Scrap, Lying at TRY Ferozepur. Quantity in MT - </v>
      </c>
      <c r="H1067" s="297" t="str">
        <f ca="1">CONCATENATE(G1067,G1068,(INDIRECT(I1068)),(INDIRECT(J1068)),(INDIRECT(K1068)),(INDIRECT(L1068)),(INDIRECT(M1068)),(INDIRECT(N1068)),(INDIRECT(O1068)),(INDIRECT(P1068)),(INDIRECT(Q1068)),(INDIRECT(R1068)),".")</f>
        <v>Misc. Healthy parts/ Non Ferrous  Scrap, Lying at TRY Ferozepur. Quantity in MT - Brass scrap - 5.28, Misc. Aluminium scrap - 0.941, Iron scrap - 0.668, Burnt Cu scrap - 0.239, Nuts &amp; Bolts scrap - 4.174, Teen Patra scrap - 1.17, .</v>
      </c>
      <c r="I1067" s="97" t="str">
        <f aca="true" ca="1" t="array" ref="I1067">CELL("address",INDEX(G1067:G1089,MATCH(TRUE,ISBLANK(G1067:G1089),0)))</f>
        <v>$G$1074</v>
      </c>
      <c r="J1067" s="97">
        <f aca="true" t="array" ref="J1067">MATCH(TRUE,ISBLANK(G1067:G1089),0)</f>
        <v>8</v>
      </c>
      <c r="K1067" s="97">
        <f>J1067-3</f>
        <v>5</v>
      </c>
      <c r="L1067" s="97"/>
      <c r="M1067" s="97"/>
      <c r="N1067" s="97"/>
      <c r="O1067" s="97"/>
      <c r="P1067" s="97"/>
      <c r="Q1067" s="97"/>
      <c r="R1067" s="97"/>
    </row>
    <row r="1068" spans="1:18" ht="15" customHeight="1">
      <c r="A1068" s="299" t="s">
        <v>110</v>
      </c>
      <c r="B1068" s="299"/>
      <c r="C1068" s="300" t="s">
        <v>42</v>
      </c>
      <c r="D1068" s="39" t="s">
        <v>23</v>
      </c>
      <c r="E1068" s="68">
        <v>5.28</v>
      </c>
      <c r="G1068" s="100" t="str">
        <f aca="true" t="shared" si="7" ref="G1068:G1073">CONCATENATE(D1068," - ",E1068,", ")</f>
        <v>Brass scrap - 5.28, </v>
      </c>
      <c r="H1068" s="297"/>
      <c r="I1068" s="97" t="str">
        <f ca="1">IF(J1067&gt;=3,(MID(I1067,2,1)&amp;MID(I1067,4,4)-K1067),CELL("address",Z1068))</f>
        <v>G1069</v>
      </c>
      <c r="J1068" s="97" t="str">
        <f ca="1">IF(J1067&gt;=4,(MID(I1068,1,1)&amp;MID(I1068,2,4)+1),CELL("address",AA1068))</f>
        <v>G1070</v>
      </c>
      <c r="K1068" s="97" t="str">
        <f ca="1">IF(J1067&gt;=5,(MID(J1068,1,1)&amp;MID(J1068,2,4)+1),CELL("address",AB1068))</f>
        <v>G1071</v>
      </c>
      <c r="L1068" s="97" t="str">
        <f ca="1">IF(J1067&gt;=6,(MID(K1068,1,1)&amp;MID(K1068,2,4)+1),CELL("address",AC1068))</f>
        <v>G1072</v>
      </c>
      <c r="M1068" s="97" t="str">
        <f ca="1">IF(J1067&gt;=7,(MID(L1068,1,1)&amp;MID(L1068,2,4)+1),CELL("address",AD1068))</f>
        <v>G1073</v>
      </c>
      <c r="N1068" s="97" t="str">
        <f ca="1">IF(J1067&gt;=8,(MID(M1068,1,1)&amp;MID(M1068,2,4)+1),CELL("address",AE1068))</f>
        <v>G1074</v>
      </c>
      <c r="O1068" s="97" t="str">
        <f ca="1">IF(J1067&gt;=9,(MID(N1068,1,1)&amp;MID(N1068,2,4)+1),CELL("address",AF1068))</f>
        <v>$AF$1068</v>
      </c>
      <c r="P1068" s="97" t="str">
        <f ca="1">IF(J1067&gt;=10,(MID(O1068,1,1)&amp;MID(O1068,2,4)+1),CELL("address",AG1068))</f>
        <v>$AG$1068</v>
      </c>
      <c r="Q1068" s="97" t="str">
        <f ca="1">IF(J1067&gt;=11,(MID(P1068,1,1)&amp;MID(P1068,2,4)+1),CELL("address",AH1068))</f>
        <v>$AH$1068</v>
      </c>
      <c r="R1068" s="97" t="str">
        <f ca="1">IF(J1067&gt;=12,(MID(Q1068,1,1)&amp;MID(Q1068,2,4)+1),CELL("address",AI1068))</f>
        <v>$AI$1068</v>
      </c>
    </row>
    <row r="1069" spans="1:8" ht="15" customHeight="1">
      <c r="A1069" s="299"/>
      <c r="B1069" s="299"/>
      <c r="C1069" s="300"/>
      <c r="D1069" s="39" t="s">
        <v>24</v>
      </c>
      <c r="E1069" s="68">
        <v>0.941</v>
      </c>
      <c r="F1069" s="97"/>
      <c r="G1069" s="100" t="str">
        <f t="shared" si="7"/>
        <v>Misc. Aluminium scrap - 0.941, </v>
      </c>
      <c r="H1069" s="1"/>
    </row>
    <row r="1070" spans="1:15" ht="15" customHeight="1">
      <c r="A1070" s="299"/>
      <c r="B1070" s="299"/>
      <c r="C1070" s="300"/>
      <c r="D1070" s="39" t="s">
        <v>27</v>
      </c>
      <c r="E1070" s="67">
        <v>0.668</v>
      </c>
      <c r="F1070" s="97"/>
      <c r="G1070" s="100" t="str">
        <f t="shared" si="7"/>
        <v>Iron scrap - 0.668, </v>
      </c>
      <c r="H1070" s="97"/>
      <c r="I1070" s="97"/>
      <c r="J1070" s="97"/>
      <c r="K1070" s="97"/>
      <c r="L1070" s="97"/>
      <c r="M1070" s="97"/>
      <c r="N1070" s="97"/>
      <c r="O1070" s="97"/>
    </row>
    <row r="1071" spans="1:15" ht="15" customHeight="1">
      <c r="A1071" s="299"/>
      <c r="B1071" s="299"/>
      <c r="C1071" s="300"/>
      <c r="D1071" s="39" t="s">
        <v>37</v>
      </c>
      <c r="E1071" s="67">
        <v>0.239</v>
      </c>
      <c r="G1071" s="100" t="str">
        <f t="shared" si="7"/>
        <v>Burnt Cu scrap - 0.239, </v>
      </c>
      <c r="H1071" s="97"/>
      <c r="I1071" s="97" t="e">
        <f ca="1">IF(G1070&gt;=6,(MID(H1071,1,1)&amp;MID(H1071,2,4)+1),CELL("address",Z1071))</f>
        <v>#VALUE!</v>
      </c>
      <c r="J1071" s="97" t="e">
        <f ca="1">IF(G1070&gt;=7,(MID(I1071,1,1)&amp;MID(I1071,2,4)+1),CELL("address",AA1071))</f>
        <v>#VALUE!</v>
      </c>
      <c r="K1071" s="97" t="e">
        <f ca="1">IF(G1070&gt;=8,(MID(J1071,1,1)&amp;MID(J1071,2,4)+1),CELL("address",AB1071))</f>
        <v>#VALUE!</v>
      </c>
      <c r="L1071" s="97" t="e">
        <f ca="1">IF(G1070&gt;=9,(MID(K1071,1,1)&amp;MID(K1071,2,4)+1),CELL("address",AC1071))</f>
        <v>#VALUE!</v>
      </c>
      <c r="M1071" s="97" t="e">
        <f ca="1">IF(G1070&gt;=10,(MID(L1071,1,1)&amp;MID(L1071,2,4)+1),CELL("address",AD1071))</f>
        <v>#VALUE!</v>
      </c>
      <c r="N1071" s="97" t="e">
        <f ca="1">IF(G1070&gt;=11,(MID(M1071,1,1)&amp;MID(M1071,2,4)+1),CELL("address",AE1071))</f>
        <v>#VALUE!</v>
      </c>
      <c r="O1071" s="97" t="e">
        <f ca="1">IF(G1070&gt;=12,(MID(N1071,1,1)&amp;MID(N1071,2,4)+1),CELL("address",AF1071))</f>
        <v>#VALUE!</v>
      </c>
    </row>
    <row r="1072" spans="1:8" ht="15" customHeight="1">
      <c r="A1072" s="299"/>
      <c r="B1072" s="299"/>
      <c r="C1072" s="300"/>
      <c r="D1072" s="39" t="s">
        <v>58</v>
      </c>
      <c r="E1072" s="67">
        <v>4.174</v>
      </c>
      <c r="G1072" s="100" t="str">
        <f t="shared" si="7"/>
        <v>Nuts &amp; Bolts scrap - 4.174, </v>
      </c>
      <c r="H1072" s="1"/>
    </row>
    <row r="1073" spans="1:8" ht="15" customHeight="1">
      <c r="A1073" s="299"/>
      <c r="B1073" s="299"/>
      <c r="C1073" s="300"/>
      <c r="D1073" s="39" t="s">
        <v>64</v>
      </c>
      <c r="E1073" s="165">
        <v>1.17</v>
      </c>
      <c r="G1073" s="100" t="str">
        <f t="shared" si="7"/>
        <v>Teen Patra scrap - 1.17, </v>
      </c>
      <c r="H1073" s="1"/>
    </row>
    <row r="1074" spans="1:8" ht="15" customHeight="1">
      <c r="A1074" s="38"/>
      <c r="B1074" s="41"/>
      <c r="C1074" s="250"/>
      <c r="D1074" s="39"/>
      <c r="E1074" s="165"/>
      <c r="F1074" s="119"/>
      <c r="H1074" s="1"/>
    </row>
    <row r="1075" spans="1:8" ht="15" customHeight="1">
      <c r="A1075" s="310"/>
      <c r="B1075" s="311"/>
      <c r="C1075" s="65"/>
      <c r="D1075" s="65"/>
      <c r="E1075" s="117">
        <f>SUM(E1077:E1081)</f>
        <v>3.727</v>
      </c>
      <c r="H1075" s="1"/>
    </row>
    <row r="1076" spans="1:18" ht="15" customHeight="1">
      <c r="A1076" s="299" t="s">
        <v>5</v>
      </c>
      <c r="B1076" s="299"/>
      <c r="C1076" s="63" t="s">
        <v>17</v>
      </c>
      <c r="D1076" s="64" t="s">
        <v>18</v>
      </c>
      <c r="E1076" s="67" t="s">
        <v>7</v>
      </c>
      <c r="G1076" s="166" t="str">
        <f>CONCATENATE("Misc. Healthy parts/ Non Ferrous  Scrap, Lying at ",C1077,". Quantity in MT - ")</f>
        <v>Misc. Healthy parts/ Non Ferrous  Scrap, Lying at OL store Ropar. Quantity in MT - </v>
      </c>
      <c r="H1076" s="297" t="str">
        <f ca="1">CONCATENATE(G1076,G1077,(INDIRECT(I1077)),(INDIRECT(J1077)),(INDIRECT(K1077)),(INDIRECT(L1077)),(INDIRECT(M1077)),(INDIRECT(N1077)),(INDIRECT(O1077)),(INDIRECT(P1077)),(INDIRECT(Q1077)),(INDIRECT(R1077)),".")</f>
        <v>Misc. Healthy parts/ Non Ferrous  Scrap, Lying at OL store Ropar. Quantity in MT - Brass scrap - 2.473, Misc. Aluminium scrap - 0.346, Burnt Cu scrap - 0.298, All Alumn. Conductor Scrap - 0.343, Misc. Copper scrap - 0.267, .</v>
      </c>
      <c r="I1076" s="97" t="str">
        <f aca="true" ca="1" t="array" ref="I1076">CELL("address",INDEX(G1076:G1098,MATCH(TRUE,ISBLANK(G1076:G1098),0)))</f>
        <v>$G$1082</v>
      </c>
      <c r="J1076" s="97">
        <f aca="true" t="array" ref="J1076">MATCH(TRUE,ISBLANK(G1076:G1098),0)</f>
        <v>7</v>
      </c>
      <c r="K1076" s="97">
        <f>J1076-3</f>
        <v>4</v>
      </c>
      <c r="L1076" s="97"/>
      <c r="M1076" s="97"/>
      <c r="N1076" s="97"/>
      <c r="O1076" s="97"/>
      <c r="P1076" s="97"/>
      <c r="Q1076" s="97"/>
      <c r="R1076" s="97"/>
    </row>
    <row r="1077" spans="1:18" ht="15" customHeight="1">
      <c r="A1077" s="326" t="s">
        <v>26</v>
      </c>
      <c r="B1077" s="327"/>
      <c r="C1077" s="307" t="s">
        <v>46</v>
      </c>
      <c r="D1077" s="39" t="s">
        <v>23</v>
      </c>
      <c r="E1077" s="68">
        <v>2.473</v>
      </c>
      <c r="F1077" s="97"/>
      <c r="G1077" s="100" t="str">
        <f>CONCATENATE(D1077," - ",E1077,", ")</f>
        <v>Brass scrap - 2.473, </v>
      </c>
      <c r="H1077" s="297"/>
      <c r="I1077" s="97" t="str">
        <f ca="1">IF(J1076&gt;=3,(MID(I1076,2,1)&amp;MID(I1076,4,4)-K1076),CELL("address",Z1077))</f>
        <v>G1078</v>
      </c>
      <c r="J1077" s="97" t="str">
        <f ca="1">IF(J1076&gt;=4,(MID(I1077,1,1)&amp;MID(I1077,2,4)+1),CELL("address",AA1077))</f>
        <v>G1079</v>
      </c>
      <c r="K1077" s="97" t="str">
        <f ca="1">IF(J1076&gt;=5,(MID(J1077,1,1)&amp;MID(J1077,2,4)+1),CELL("address",AB1077))</f>
        <v>G1080</v>
      </c>
      <c r="L1077" s="97" t="str">
        <f ca="1">IF(J1076&gt;=6,(MID(K1077,1,1)&amp;MID(K1077,2,4)+1),CELL("address",AC1077))</f>
        <v>G1081</v>
      </c>
      <c r="M1077" s="97" t="str">
        <f ca="1">IF(J1076&gt;=7,(MID(L1077,1,1)&amp;MID(L1077,2,4)+1),CELL("address",AD1077))</f>
        <v>G1082</v>
      </c>
      <c r="N1077" s="97" t="str">
        <f ca="1">IF(J1076&gt;=8,(MID(M1077,1,1)&amp;MID(M1077,2,4)+1),CELL("address",AE1077))</f>
        <v>$AE$1077</v>
      </c>
      <c r="O1077" s="97" t="str">
        <f ca="1">IF(J1076&gt;=9,(MID(N1077,1,1)&amp;MID(N1077,2,4)+1),CELL("address",AF1077))</f>
        <v>$AF$1077</v>
      </c>
      <c r="P1077" s="97" t="str">
        <f ca="1">IF(J1076&gt;=10,(MID(O1077,1,1)&amp;MID(O1077,2,4)+1),CELL("address",AG1077))</f>
        <v>$AG$1077</v>
      </c>
      <c r="Q1077" s="97" t="str">
        <f ca="1">IF(J1076&gt;=11,(MID(P1077,1,1)&amp;MID(P1077,2,4)+1),CELL("address",AH1077))</f>
        <v>$AH$1077</v>
      </c>
      <c r="R1077" s="97" t="str">
        <f ca="1">IF(J1076&gt;=12,(MID(Q1077,1,1)&amp;MID(Q1077,2,4)+1),CELL("address",AI1077))</f>
        <v>$AI$1077</v>
      </c>
    </row>
    <row r="1078" spans="1:15" ht="15" customHeight="1">
      <c r="A1078" s="328"/>
      <c r="B1078" s="329"/>
      <c r="C1078" s="308"/>
      <c r="D1078" s="39" t="s">
        <v>24</v>
      </c>
      <c r="E1078" s="68">
        <v>0.346</v>
      </c>
      <c r="F1078" s="97"/>
      <c r="G1078" s="100" t="str">
        <f>CONCATENATE(D1078," - ",E1078,", ")</f>
        <v>Misc. Aluminium scrap - 0.346, </v>
      </c>
      <c r="H1078" s="97"/>
      <c r="I1078" s="97"/>
      <c r="J1078" s="97"/>
      <c r="K1078" s="97"/>
      <c r="L1078" s="97"/>
      <c r="M1078" s="97"/>
      <c r="N1078" s="97"/>
      <c r="O1078" s="97"/>
    </row>
    <row r="1079" spans="1:15" ht="15" customHeight="1">
      <c r="A1079" s="328"/>
      <c r="B1079" s="329"/>
      <c r="C1079" s="308"/>
      <c r="D1079" s="38" t="s">
        <v>37</v>
      </c>
      <c r="E1079" s="68">
        <v>0.298</v>
      </c>
      <c r="G1079" s="100" t="str">
        <f>CONCATENATE(D1079," - ",E1079,", ")</f>
        <v>Burnt Cu scrap - 0.298, </v>
      </c>
      <c r="H1079" s="97"/>
      <c r="I1079" s="97" t="e">
        <f ca="1">IF(G1078&gt;=6,(MID(H1079,1,1)&amp;MID(H1079,2,4)+1),CELL("address",Z1079))</f>
        <v>#VALUE!</v>
      </c>
      <c r="J1079" s="97" t="e">
        <f ca="1">IF(G1078&gt;=7,(MID(I1079,1,1)&amp;MID(I1079,2,4)+1),CELL("address",AA1079))</f>
        <v>#VALUE!</v>
      </c>
      <c r="K1079" s="97" t="e">
        <f ca="1">IF(G1078&gt;=8,(MID(J1079,1,1)&amp;MID(J1079,2,4)+1),CELL("address",AB1079))</f>
        <v>#VALUE!</v>
      </c>
      <c r="L1079" s="97" t="e">
        <f ca="1">IF(G1078&gt;=9,(MID(K1079,1,1)&amp;MID(K1079,2,4)+1),CELL("address",AC1079))</f>
        <v>#VALUE!</v>
      </c>
      <c r="M1079" s="97" t="e">
        <f ca="1">IF(G1078&gt;=10,(MID(L1079,1,1)&amp;MID(L1079,2,4)+1),CELL("address",AD1079))</f>
        <v>#VALUE!</v>
      </c>
      <c r="N1079" s="97" t="e">
        <f ca="1">IF(G1078&gt;=11,(MID(M1079,1,1)&amp;MID(M1079,2,4)+1),CELL("address",AE1079))</f>
        <v>#VALUE!</v>
      </c>
      <c r="O1079" s="97" t="e">
        <f ca="1">IF(G1078&gt;=12,(MID(N1079,1,1)&amp;MID(N1079,2,4)+1),CELL("address",AF1079))</f>
        <v>#VALUE!</v>
      </c>
    </row>
    <row r="1080" spans="1:8" ht="15" customHeight="1">
      <c r="A1080" s="328"/>
      <c r="B1080" s="329"/>
      <c r="C1080" s="308"/>
      <c r="D1080" s="44" t="s">
        <v>32</v>
      </c>
      <c r="E1080" s="68">
        <v>0.343</v>
      </c>
      <c r="G1080" s="100" t="str">
        <f>CONCATENATE(D1080," - ",E1080,", ")</f>
        <v>All Alumn. Conductor Scrap - 0.343, </v>
      </c>
      <c r="H1080" s="1"/>
    </row>
    <row r="1081" spans="1:8" ht="15" customHeight="1">
      <c r="A1081" s="330"/>
      <c r="B1081" s="331"/>
      <c r="C1081" s="309"/>
      <c r="D1081" s="39" t="s">
        <v>45</v>
      </c>
      <c r="E1081" s="68">
        <v>0.267</v>
      </c>
      <c r="G1081" s="100" t="str">
        <f>CONCATENATE(D1081," - ",E1081,", ")</f>
        <v>Misc. Copper scrap - 0.267, </v>
      </c>
      <c r="H1081" s="1"/>
    </row>
    <row r="1082" spans="1:8" ht="15" customHeight="1">
      <c r="A1082" s="49"/>
      <c r="B1082" s="58"/>
      <c r="C1082" s="253"/>
      <c r="D1082" s="39"/>
      <c r="E1082" s="68"/>
      <c r="F1082" s="97"/>
      <c r="H1082" s="1"/>
    </row>
    <row r="1083" spans="1:15" ht="15" customHeight="1">
      <c r="A1083" s="310"/>
      <c r="B1083" s="311"/>
      <c r="C1083" s="65"/>
      <c r="D1083" s="65"/>
      <c r="E1083" s="117">
        <f>SUM(E1085:E1086)</f>
        <v>2.408</v>
      </c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</row>
    <row r="1084" spans="1:18" ht="15" customHeight="1">
      <c r="A1084" s="299" t="s">
        <v>5</v>
      </c>
      <c r="B1084" s="299"/>
      <c r="C1084" s="63" t="s">
        <v>17</v>
      </c>
      <c r="D1084" s="64" t="s">
        <v>18</v>
      </c>
      <c r="E1084" s="67" t="s">
        <v>7</v>
      </c>
      <c r="G1084" s="166" t="str">
        <f>CONCATENATE("Misc. Healthy parts/ Non Ferrous  Scrap, Lying at ",C1085,". Quantity in MT - ")</f>
        <v>Misc. Healthy parts/ Non Ferrous  Scrap, Lying at TRY Ferozepur. Quantity in MT - </v>
      </c>
      <c r="H1084" s="297" t="str">
        <f ca="1">CONCATENATE(G1084,G1085,(INDIRECT(I1085)),(INDIRECT(J1085)),(INDIRECT(K1085)),(INDIRECT(L1085)),(INDIRECT(M1085)),(INDIRECT(N1085)),(INDIRECT(O1085)),(INDIRECT(P1085)),(INDIRECT(Q1085)),(INDIRECT(R1085)),".")</f>
        <v>Misc. Healthy parts/ Non Ferrous  Scrap, Lying at TRY Ferozepur. Quantity in MT - Brass scrap - 2.09, Misc. Alumn. Scrap - 0.318, .</v>
      </c>
      <c r="I1084" s="97" t="str">
        <f aca="true" ca="1" t="array" ref="I1084">CELL("address",INDEX(G1084:G1106,MATCH(TRUE,ISBLANK(G1084:G1106),0)))</f>
        <v>$G$1087</v>
      </c>
      <c r="J1084" s="97">
        <f aca="true" t="array" ref="J1084">MATCH(TRUE,ISBLANK(G1084:G1106),0)</f>
        <v>4</v>
      </c>
      <c r="K1084" s="97">
        <f>J1084-3</f>
        <v>1</v>
      </c>
      <c r="L1084" s="97"/>
      <c r="M1084" s="97"/>
      <c r="N1084" s="97"/>
      <c r="O1084" s="97"/>
      <c r="P1084" s="97"/>
      <c r="Q1084" s="97"/>
      <c r="R1084" s="97"/>
    </row>
    <row r="1085" spans="1:18" ht="18" customHeight="1">
      <c r="A1085" s="299" t="s">
        <v>38</v>
      </c>
      <c r="B1085" s="299"/>
      <c r="C1085" s="300" t="s">
        <v>42</v>
      </c>
      <c r="D1085" s="44" t="s">
        <v>23</v>
      </c>
      <c r="E1085" s="118">
        <v>2.09</v>
      </c>
      <c r="G1085" s="100" t="str">
        <f>CONCATENATE(D1085," - ",E1085,", ")</f>
        <v>Brass scrap - 2.09, </v>
      </c>
      <c r="H1085" s="297"/>
      <c r="I1085" s="97" t="str">
        <f ca="1">IF(J1084&gt;=3,(MID(I1084,2,1)&amp;MID(I1084,4,4)-K1084),CELL("address",Z1085))</f>
        <v>G1086</v>
      </c>
      <c r="J1085" s="97" t="str">
        <f ca="1">IF(J1084&gt;=4,(MID(I1085,1,1)&amp;MID(I1085,2,4)+1),CELL("address",AA1085))</f>
        <v>G1087</v>
      </c>
      <c r="K1085" s="97" t="str">
        <f ca="1">IF(J1084&gt;=5,(MID(J1085,1,1)&amp;MID(J1085,2,4)+1),CELL("address",AB1085))</f>
        <v>$AB$1085</v>
      </c>
      <c r="L1085" s="97" t="str">
        <f ca="1">IF(J1084&gt;=6,(MID(K1085,1,1)&amp;MID(K1085,2,4)+1),CELL("address",AC1085))</f>
        <v>$AC$1085</v>
      </c>
      <c r="M1085" s="97" t="str">
        <f ca="1">IF(J1084&gt;=7,(MID(L1085,1,1)&amp;MID(L1085,2,4)+1),CELL("address",AD1085))</f>
        <v>$AD$1085</v>
      </c>
      <c r="N1085" s="97" t="str">
        <f ca="1">IF(J1084&gt;=8,(MID(M1085,1,1)&amp;MID(M1085,2,4)+1),CELL("address",AE1085))</f>
        <v>$AE$1085</v>
      </c>
      <c r="O1085" s="97" t="str">
        <f ca="1">IF(J1084&gt;=9,(MID(N1085,1,1)&amp;MID(N1085,2,4)+1),CELL("address",AF1085))</f>
        <v>$AF$1085</v>
      </c>
      <c r="P1085" s="97" t="str">
        <f ca="1">IF(J1084&gt;=10,(MID(O1085,1,1)&amp;MID(O1085,2,4)+1),CELL("address",AG1085))</f>
        <v>$AG$1085</v>
      </c>
      <c r="Q1085" s="97" t="str">
        <f ca="1">IF(J1084&gt;=11,(MID(P1085,1,1)&amp;MID(P1085,2,4)+1),CELL("address",AH1085))</f>
        <v>$AH$1085</v>
      </c>
      <c r="R1085" s="97" t="str">
        <f ca="1">IF(J1084&gt;=12,(MID(Q1085,1,1)&amp;MID(Q1085,2,4)+1),CELL("address",AI1085))</f>
        <v>$AI$1085</v>
      </c>
    </row>
    <row r="1086" spans="1:8" ht="19.5" customHeight="1">
      <c r="A1086" s="299"/>
      <c r="B1086" s="299"/>
      <c r="C1086" s="300"/>
      <c r="D1086" s="44" t="s">
        <v>31</v>
      </c>
      <c r="E1086" s="118">
        <v>0.318</v>
      </c>
      <c r="G1086" s="100" t="str">
        <f>CONCATENATE(D1086," - ",E1086,", ")</f>
        <v>Misc. Alumn. Scrap - 0.318, </v>
      </c>
      <c r="H1086" s="1"/>
    </row>
    <row r="1087" spans="1:8" ht="15" customHeight="1">
      <c r="A1087" s="301"/>
      <c r="B1087" s="306"/>
      <c r="C1087" s="250"/>
      <c r="D1087" s="44"/>
      <c r="E1087" s="118"/>
      <c r="H1087" s="1"/>
    </row>
    <row r="1088" spans="1:8" ht="15" customHeight="1">
      <c r="A1088" s="310"/>
      <c r="B1088" s="311"/>
      <c r="C1088" s="65"/>
      <c r="D1088" s="65"/>
      <c r="E1088" s="117">
        <f>SUM(E1090:E1093)</f>
        <v>3.033</v>
      </c>
      <c r="H1088" s="1"/>
    </row>
    <row r="1089" spans="1:18" ht="15" customHeight="1">
      <c r="A1089" s="301" t="s">
        <v>5</v>
      </c>
      <c r="B1089" s="306"/>
      <c r="C1089" s="63" t="s">
        <v>17</v>
      </c>
      <c r="D1089" s="64" t="s">
        <v>18</v>
      </c>
      <c r="E1089" s="67" t="s">
        <v>7</v>
      </c>
      <c r="F1089" s="97"/>
      <c r="G1089" s="166" t="str">
        <f>CONCATENATE("Misc. Healthy parts/ Non Ferrous  Scrap, Lying at ",C1090,". Quantity in MT - ")</f>
        <v>Misc. Healthy parts/ Non Ferrous  Scrap, Lying at TRY Malerkotla. Quantity in MT - </v>
      </c>
      <c r="H1089" s="297" t="str">
        <f ca="1">CONCATENATE(G1089,G1090,(INDIRECT(I1090)),(INDIRECT(J1090)),(INDIRECT(K1090)),(INDIRECT(L1090)),(INDIRECT(M1090)),(INDIRECT(N1090)),(INDIRECT(O1090)),(INDIRECT(P1090)),(INDIRECT(Q1090)),(INDIRECT(R1090)),".")</f>
        <v>Misc. Healthy parts/ Non Ferrous  Scrap, Lying at TRY Malerkotla. Quantity in MT - Brass scrap - 2.37, Misc. Aluminium scrap - 0.195, Burnt Aluminium scrap - 0.313, Burnt Cu scrap - 0.155, .</v>
      </c>
      <c r="I1089" s="97" t="str">
        <f aca="true" ca="1" t="array" ref="I1089">CELL("address",INDEX(G1089:G1111,MATCH(TRUE,ISBLANK(G1089:G1111),0)))</f>
        <v>$G$1094</v>
      </c>
      <c r="J1089" s="97">
        <f aca="true" t="array" ref="J1089">MATCH(TRUE,ISBLANK(G1089:G1111),0)</f>
        <v>6</v>
      </c>
      <c r="K1089" s="97">
        <f>J1089-3</f>
        <v>3</v>
      </c>
      <c r="L1089" s="97"/>
      <c r="M1089" s="97"/>
      <c r="N1089" s="97"/>
      <c r="O1089" s="97"/>
      <c r="P1089" s="97"/>
      <c r="Q1089" s="97"/>
      <c r="R1089" s="97"/>
    </row>
    <row r="1090" spans="1:18" ht="15" customHeight="1">
      <c r="A1090" s="299" t="s">
        <v>48</v>
      </c>
      <c r="B1090" s="299"/>
      <c r="C1090" s="300" t="s">
        <v>28</v>
      </c>
      <c r="D1090" s="39" t="s">
        <v>23</v>
      </c>
      <c r="E1090" s="68">
        <v>2.37</v>
      </c>
      <c r="F1090" s="97"/>
      <c r="G1090" s="100" t="str">
        <f>CONCATENATE(D1090," - ",E1090,", ")</f>
        <v>Brass scrap - 2.37, </v>
      </c>
      <c r="H1090" s="297"/>
      <c r="I1090" s="97" t="str">
        <f ca="1">IF(J1089&gt;=3,(MID(I1089,2,1)&amp;MID(I1089,4,4)-K1089),CELL("address",Z1090))</f>
        <v>G1091</v>
      </c>
      <c r="J1090" s="97" t="str">
        <f ca="1">IF(J1089&gt;=4,(MID(I1090,1,1)&amp;MID(I1090,2,4)+1),CELL("address",AA1090))</f>
        <v>G1092</v>
      </c>
      <c r="K1090" s="97" t="str">
        <f ca="1">IF(J1089&gt;=5,(MID(J1090,1,1)&amp;MID(J1090,2,4)+1),CELL("address",AB1090))</f>
        <v>G1093</v>
      </c>
      <c r="L1090" s="97" t="str">
        <f ca="1">IF(J1089&gt;=6,(MID(K1090,1,1)&amp;MID(K1090,2,4)+1),CELL("address",AC1090))</f>
        <v>G1094</v>
      </c>
      <c r="M1090" s="97" t="str">
        <f ca="1">IF(J1089&gt;=7,(MID(L1090,1,1)&amp;MID(L1090,2,4)+1),CELL("address",AD1090))</f>
        <v>$AD$1090</v>
      </c>
      <c r="N1090" s="97" t="str">
        <f ca="1">IF(J1089&gt;=8,(MID(M1090,1,1)&amp;MID(M1090,2,4)+1),CELL("address",AE1090))</f>
        <v>$AE$1090</v>
      </c>
      <c r="O1090" s="97" t="str">
        <f ca="1">IF(J1089&gt;=9,(MID(N1090,1,1)&amp;MID(N1090,2,4)+1),CELL("address",AF1090))</f>
        <v>$AF$1090</v>
      </c>
      <c r="P1090" s="97" t="str">
        <f ca="1">IF(J1089&gt;=10,(MID(O1090,1,1)&amp;MID(O1090,2,4)+1),CELL("address",AG1090))</f>
        <v>$AG$1090</v>
      </c>
      <c r="Q1090" s="97" t="str">
        <f ca="1">IF(J1089&gt;=11,(MID(P1090,1,1)&amp;MID(P1090,2,4)+1),CELL("address",AH1090))</f>
        <v>$AH$1090</v>
      </c>
      <c r="R1090" s="97" t="str">
        <f ca="1">IF(J1089&gt;=12,(MID(Q1090,1,1)&amp;MID(Q1090,2,4)+1),CELL("address",AI1090))</f>
        <v>$AI$1090</v>
      </c>
    </row>
    <row r="1091" spans="1:15" ht="15" customHeight="1">
      <c r="A1091" s="299"/>
      <c r="B1091" s="299"/>
      <c r="C1091" s="300"/>
      <c r="D1091" s="39" t="s">
        <v>24</v>
      </c>
      <c r="E1091" s="68">
        <v>0.195</v>
      </c>
      <c r="G1091" s="100" t="str">
        <f>CONCATENATE(D1091," - ",E1091,", ")</f>
        <v>Misc. Aluminium scrap - 0.195, </v>
      </c>
      <c r="H1091" s="97"/>
      <c r="I1091" s="97" t="e">
        <f ca="1">IF(G1090&gt;=6,(MID(H1091,1,1)&amp;MID(H1091,2,4)+1),CELL("address",Z1091))</f>
        <v>#VALUE!</v>
      </c>
      <c r="J1091" s="97" t="e">
        <f ca="1">IF(G1090&gt;=7,(MID(I1091,1,1)&amp;MID(I1091,2,4)+1),CELL("address",AA1091))</f>
        <v>#VALUE!</v>
      </c>
      <c r="K1091" s="97" t="e">
        <f ca="1">IF(G1090&gt;=8,(MID(J1091,1,1)&amp;MID(J1091,2,4)+1),CELL("address",AB1091))</f>
        <v>#VALUE!</v>
      </c>
      <c r="L1091" s="97" t="e">
        <f ca="1">IF(G1090&gt;=9,(MID(K1091,1,1)&amp;MID(K1091,2,4)+1),CELL("address",AC1091))</f>
        <v>#VALUE!</v>
      </c>
      <c r="M1091" s="97" t="e">
        <f ca="1">IF(G1090&gt;=10,(MID(L1091,1,1)&amp;MID(L1091,2,4)+1),CELL("address",AD1091))</f>
        <v>#VALUE!</v>
      </c>
      <c r="N1091" s="97" t="e">
        <f ca="1">IF(G1090&gt;=11,(MID(M1091,1,1)&amp;MID(M1091,2,4)+1),CELL("address",AE1091))</f>
        <v>#VALUE!</v>
      </c>
      <c r="O1091" s="97" t="e">
        <f ca="1">IF(G1090&gt;=12,(MID(N1091,1,1)&amp;MID(N1091,2,4)+1),CELL("address",AF1091))</f>
        <v>#VALUE!</v>
      </c>
    </row>
    <row r="1092" spans="1:8" ht="15" customHeight="1">
      <c r="A1092" s="299"/>
      <c r="B1092" s="299"/>
      <c r="C1092" s="300"/>
      <c r="D1092" s="39" t="s">
        <v>41</v>
      </c>
      <c r="E1092" s="68">
        <v>0.313</v>
      </c>
      <c r="G1092" s="100" t="str">
        <f>CONCATENATE(D1092," - ",E1092,", ")</f>
        <v>Burnt Aluminium scrap - 0.313, </v>
      </c>
      <c r="H1092" s="1"/>
    </row>
    <row r="1093" spans="1:8" ht="15" customHeight="1">
      <c r="A1093" s="299"/>
      <c r="B1093" s="299"/>
      <c r="C1093" s="300"/>
      <c r="D1093" s="39" t="s">
        <v>37</v>
      </c>
      <c r="E1093" s="67">
        <v>0.155</v>
      </c>
      <c r="G1093" s="100" t="str">
        <f>CONCATENATE(D1093," - ",E1093,", ")</f>
        <v>Burnt Cu scrap - 0.155, </v>
      </c>
      <c r="H1093" s="1"/>
    </row>
    <row r="1094" spans="1:8" ht="15" customHeight="1">
      <c r="A1094" s="38"/>
      <c r="B1094" s="41"/>
      <c r="C1094" s="250"/>
      <c r="D1094" s="39"/>
      <c r="E1094" s="67"/>
      <c r="H1094" s="1"/>
    </row>
    <row r="1095" spans="1:8" ht="15" customHeight="1">
      <c r="A1095" s="310"/>
      <c r="B1095" s="311"/>
      <c r="C1095" s="65"/>
      <c r="D1095" s="65"/>
      <c r="E1095" s="117">
        <f>SUM(E1097:E1100)</f>
        <v>0.418</v>
      </c>
      <c r="H1095" s="1"/>
    </row>
    <row r="1096" spans="1:18" ht="15" customHeight="1">
      <c r="A1096" s="299" t="s">
        <v>5</v>
      </c>
      <c r="B1096" s="299"/>
      <c r="C1096" s="63" t="s">
        <v>17</v>
      </c>
      <c r="D1096" s="64" t="s">
        <v>18</v>
      </c>
      <c r="E1096" s="67" t="s">
        <v>7</v>
      </c>
      <c r="F1096" s="97"/>
      <c r="G1096" s="166" t="str">
        <f>CONCATENATE("Misc. Healthy parts/ Non Ferrous  Scrap, Lying at ",C1097,". Quantity in MT - ")</f>
        <v>Misc. Healthy parts/ Non Ferrous  Scrap, Lying at CS Mohali. Quantity in MT - </v>
      </c>
      <c r="H1096" s="297" t="str">
        <f ca="1">CONCATENATE(G1096,G1097,(INDIRECT(I1097)),(INDIRECT(J1097)),(INDIRECT(K1097)),(INDIRECT(L1097)),(INDIRECT(M1097)),(INDIRECT(N1097)),(INDIRECT(O1097)),(INDIRECT(P1097)),(INDIRECT(Q1097)),(INDIRECT(R1097)),".")</f>
        <v>Misc. Healthy parts/ Non Ferrous  Scrap, Lying at CS Mohali. Quantity in MT - Misc. Copper scrap - 0.313, Burnt Cu scrap - 0.041, All Alumn. Conductor Scrap - 0.054, Brass scrap - 0.01, .</v>
      </c>
      <c r="I1096" s="97" t="str">
        <f aca="true" ca="1" t="array" ref="I1096">CELL("address",INDEX(G1096:G1119,MATCH(TRUE,ISBLANK(G1096:G1119),0)))</f>
        <v>$G$1101</v>
      </c>
      <c r="J1096" s="97">
        <f aca="true" t="array" ref="J1096">MATCH(TRUE,ISBLANK(G1096:G1119),0)</f>
        <v>6</v>
      </c>
      <c r="K1096" s="97">
        <f>J1096-3</f>
        <v>3</v>
      </c>
      <c r="L1096" s="97"/>
      <c r="M1096" s="97"/>
      <c r="N1096" s="97"/>
      <c r="O1096" s="97"/>
      <c r="P1096" s="97"/>
      <c r="Q1096" s="97"/>
      <c r="R1096" s="97"/>
    </row>
    <row r="1097" spans="1:18" ht="15" customHeight="1">
      <c r="A1097" s="299" t="s">
        <v>39</v>
      </c>
      <c r="B1097" s="299"/>
      <c r="C1097" s="300" t="s">
        <v>62</v>
      </c>
      <c r="D1097" s="39" t="s">
        <v>45</v>
      </c>
      <c r="E1097" s="68">
        <v>0.313</v>
      </c>
      <c r="F1097" s="97"/>
      <c r="G1097" s="100" t="str">
        <f>CONCATENATE(D1097," - ",E1097,", ")</f>
        <v>Misc. Copper scrap - 0.313, </v>
      </c>
      <c r="H1097" s="297"/>
      <c r="I1097" s="97" t="str">
        <f ca="1">IF(J1096&gt;=3,(MID(I1096,2,1)&amp;MID(I1096,4,4)-K1096),CELL("address",Z1097))</f>
        <v>G1098</v>
      </c>
      <c r="J1097" s="97" t="str">
        <f ca="1">IF(J1096&gt;=4,(MID(I1097,1,1)&amp;MID(I1097,2,4)+1),CELL("address",AA1097))</f>
        <v>G1099</v>
      </c>
      <c r="K1097" s="97" t="str">
        <f ca="1">IF(J1096&gt;=5,(MID(J1097,1,1)&amp;MID(J1097,2,4)+1),CELL("address",AB1097))</f>
        <v>G1100</v>
      </c>
      <c r="L1097" s="97" t="str">
        <f ca="1">IF(J1096&gt;=6,(MID(K1097,1,1)&amp;MID(K1097,2,4)+1),CELL("address",AC1097))</f>
        <v>G1101</v>
      </c>
      <c r="M1097" s="97" t="str">
        <f ca="1">IF(J1096&gt;=7,(MID(L1097,1,1)&amp;MID(L1097,2,4)+1),CELL("address",AD1097))</f>
        <v>$AD$1097</v>
      </c>
      <c r="N1097" s="97" t="str">
        <f ca="1">IF(J1096&gt;=8,(MID(M1097,1,1)&amp;MID(M1097,2,4)+1),CELL("address",AE1097))</f>
        <v>$AE$1097</v>
      </c>
      <c r="O1097" s="97" t="str">
        <f ca="1">IF(J1096&gt;=9,(MID(N1097,1,1)&amp;MID(N1097,2,4)+1),CELL("address",AF1097))</f>
        <v>$AF$1097</v>
      </c>
      <c r="P1097" s="97" t="str">
        <f ca="1">IF(J1096&gt;=10,(MID(O1097,1,1)&amp;MID(O1097,2,4)+1),CELL("address",AG1097))</f>
        <v>$AG$1097</v>
      </c>
      <c r="Q1097" s="97" t="str">
        <f ca="1">IF(J1096&gt;=11,(MID(P1097,1,1)&amp;MID(P1097,2,4)+1),CELL("address",AH1097))</f>
        <v>$AH$1097</v>
      </c>
      <c r="R1097" s="97" t="str">
        <f ca="1">IF(J1096&gt;=12,(MID(Q1097,1,1)&amp;MID(Q1097,2,4)+1),CELL("address",AI1097))</f>
        <v>$AI$1097</v>
      </c>
    </row>
    <row r="1098" spans="1:15" ht="15" customHeight="1">
      <c r="A1098" s="299"/>
      <c r="B1098" s="299"/>
      <c r="C1098" s="300"/>
      <c r="D1098" s="38" t="s">
        <v>37</v>
      </c>
      <c r="E1098" s="68">
        <v>0.041</v>
      </c>
      <c r="G1098" s="100" t="str">
        <f>CONCATENATE(D1098," - ",E1098,", ")</f>
        <v>Burnt Cu scrap - 0.041, </v>
      </c>
      <c r="H1098" s="97"/>
      <c r="I1098" s="97" t="e">
        <f ca="1">IF(G1097&gt;=6,(MID(H1098,1,1)&amp;MID(H1098,2,4)+1),CELL("address",Z1098))</f>
        <v>#VALUE!</v>
      </c>
      <c r="J1098" s="97" t="e">
        <f ca="1">IF(G1097&gt;=7,(MID(I1098,1,1)&amp;MID(I1098,2,4)+1),CELL("address",AA1098))</f>
        <v>#VALUE!</v>
      </c>
      <c r="K1098" s="97" t="e">
        <f ca="1">IF(G1097&gt;=8,(MID(J1098,1,1)&amp;MID(J1098,2,4)+1),CELL("address",AB1098))</f>
        <v>#VALUE!</v>
      </c>
      <c r="L1098" s="97" t="e">
        <f ca="1">IF(G1097&gt;=9,(MID(K1098,1,1)&amp;MID(K1098,2,4)+1),CELL("address",AC1098))</f>
        <v>#VALUE!</v>
      </c>
      <c r="M1098" s="97" t="e">
        <f ca="1">IF(G1097&gt;=10,(MID(L1098,1,1)&amp;MID(L1098,2,4)+1),CELL("address",AD1098))</f>
        <v>#VALUE!</v>
      </c>
      <c r="N1098" s="97" t="e">
        <f ca="1">IF(G1097&gt;=11,(MID(M1098,1,1)&amp;MID(M1098,2,4)+1),CELL("address",AE1098))</f>
        <v>#VALUE!</v>
      </c>
      <c r="O1098" s="97" t="e">
        <f ca="1">IF(G1097&gt;=12,(MID(N1098,1,1)&amp;MID(N1098,2,4)+1),CELL("address",AF1098))</f>
        <v>#VALUE!</v>
      </c>
    </row>
    <row r="1099" spans="1:8" ht="15" customHeight="1">
      <c r="A1099" s="299"/>
      <c r="B1099" s="299"/>
      <c r="C1099" s="300"/>
      <c r="D1099" s="44" t="s">
        <v>32</v>
      </c>
      <c r="E1099" s="68">
        <v>0.054</v>
      </c>
      <c r="G1099" s="100" t="str">
        <f>CONCATENATE(D1099," - ",E1099,", ")</f>
        <v>All Alumn. Conductor Scrap - 0.054, </v>
      </c>
      <c r="H1099" s="1"/>
    </row>
    <row r="1100" spans="1:8" ht="15" customHeight="1">
      <c r="A1100" s="299"/>
      <c r="B1100" s="299"/>
      <c r="C1100" s="300"/>
      <c r="D1100" s="39" t="s">
        <v>23</v>
      </c>
      <c r="E1100" s="68">
        <v>0.01</v>
      </c>
      <c r="F1100" s="97"/>
      <c r="G1100" s="100" t="str">
        <f>CONCATENATE(D1100," - ",E1100,", ")</f>
        <v>Brass scrap - 0.01, </v>
      </c>
      <c r="H1100" s="1"/>
    </row>
    <row r="1101" spans="1:15" ht="15" customHeight="1">
      <c r="A1101" s="38"/>
      <c r="B1101" s="41"/>
      <c r="C1101" s="250"/>
      <c r="D1101" s="39"/>
      <c r="E1101" s="68"/>
      <c r="F1101" s="192"/>
      <c r="G1101" s="97"/>
      <c r="H1101" s="97"/>
      <c r="I1101" s="97"/>
      <c r="J1101" s="97"/>
      <c r="K1101" s="97"/>
      <c r="L1101" s="97"/>
      <c r="M1101" s="97"/>
      <c r="N1101" s="97"/>
      <c r="O1101" s="97"/>
    </row>
    <row r="1102" spans="1:15" ht="15" customHeight="1">
      <c r="A1102" s="301"/>
      <c r="B1102" s="306"/>
      <c r="C1102" s="250"/>
      <c r="D1102" s="39"/>
      <c r="E1102" s="117">
        <f>E1104</f>
        <v>0.092</v>
      </c>
      <c r="G1102" s="97"/>
      <c r="H1102" s="97"/>
      <c r="I1102" s="97" t="str">
        <f ca="1">IF(G1101&gt;=6,(MID(H1102,1,1)&amp;MID(H1102,2,4)+1),CELL("address",Z1102))</f>
        <v>$Z$1102</v>
      </c>
      <c r="J1102" s="97" t="str">
        <f ca="1">IF(G1101&gt;=7,(MID(I1102,1,1)&amp;MID(I1102,2,4)+1),CELL("address",AA1102))</f>
        <v>$AA$1102</v>
      </c>
      <c r="K1102" s="97" t="str">
        <f ca="1">IF(G1101&gt;=8,(MID(J1102,1,1)&amp;MID(J1102,2,4)+1),CELL("address",AB1102))</f>
        <v>$AB$1102</v>
      </c>
      <c r="L1102" s="97" t="str">
        <f ca="1">IF(G1101&gt;=9,(MID(K1102,1,1)&amp;MID(K1102,2,4)+1),CELL("address",AC1102))</f>
        <v>$AC$1102</v>
      </c>
      <c r="M1102" s="97" t="str">
        <f ca="1">IF(G1101&gt;=10,(MID(L1102,1,1)&amp;MID(L1102,2,4)+1),CELL("address",AD1102))</f>
        <v>$AD$1102</v>
      </c>
      <c r="N1102" s="97" t="str">
        <f ca="1">IF(G1101&gt;=11,(MID(M1102,1,1)&amp;MID(M1102,2,4)+1),CELL("address",AE1102))</f>
        <v>$AE$1102</v>
      </c>
      <c r="O1102" s="97" t="str">
        <f ca="1">IF(G1101&gt;=12,(MID(N1102,1,1)&amp;MID(N1102,2,4)+1),CELL("address",AF1102))</f>
        <v>$AF$1102</v>
      </c>
    </row>
    <row r="1103" spans="1:18" ht="15" customHeight="1">
      <c r="A1103" s="299" t="s">
        <v>5</v>
      </c>
      <c r="B1103" s="299"/>
      <c r="C1103" s="63" t="s">
        <v>17</v>
      </c>
      <c r="D1103" s="64" t="s">
        <v>18</v>
      </c>
      <c r="E1103" s="67" t="s">
        <v>7</v>
      </c>
      <c r="G1103" s="166" t="str">
        <f>CONCATENATE("Misc. Healthy parts/ Non Ferrous  Scrap, Lying at ",C1104,". Quantity in MT - ")</f>
        <v>Misc. Healthy parts/ Non Ferrous  Scrap, Lying at OL store Patran. Quantity in MT - </v>
      </c>
      <c r="H1103" s="297" t="str">
        <f ca="1">CONCATENATE(G1103,G1104,(INDIRECT(I1104)),(INDIRECT(J1104)),(INDIRECT(K1104)),(INDIRECT(L1104)),(INDIRECT(M1104)),(INDIRECT(N1104)),(INDIRECT(O1104)),(INDIRECT(P1104)),(INDIRECT(Q1104)),(INDIRECT(R1104)),".")</f>
        <v>Misc. Healthy parts/ Non Ferrous  Scrap, Lying at OL store Patran. Quantity in MT - Misc. Copper scrap - 0.092, .</v>
      </c>
      <c r="I1103" s="97" t="str">
        <f aca="true" ca="1" t="array" ref="I1103">CELL("address",INDEX(G1103:G1126,MATCH(TRUE,ISBLANK(G1103:G1126),0)))</f>
        <v>$G$1105</v>
      </c>
      <c r="J1103" s="97">
        <f aca="true" t="array" ref="J1103">MATCH(TRUE,ISBLANK(G1103:G1126),0)</f>
        <v>3</v>
      </c>
      <c r="K1103" s="97">
        <f>J1103-3</f>
        <v>0</v>
      </c>
      <c r="L1103" s="97"/>
      <c r="M1103" s="97"/>
      <c r="N1103" s="97"/>
      <c r="O1103" s="97"/>
      <c r="P1103" s="97"/>
      <c r="Q1103" s="97"/>
      <c r="R1103" s="97"/>
    </row>
    <row r="1104" spans="1:18" ht="15" customHeight="1">
      <c r="A1104" s="299" t="s">
        <v>40</v>
      </c>
      <c r="B1104" s="299"/>
      <c r="C1104" s="250" t="s">
        <v>101</v>
      </c>
      <c r="D1104" s="39" t="s">
        <v>45</v>
      </c>
      <c r="E1104" s="68">
        <v>0.092</v>
      </c>
      <c r="G1104" s="100" t="str">
        <f>CONCATENATE(D1104," - ",E1104,", ")</f>
        <v>Misc. Copper scrap - 0.092, </v>
      </c>
      <c r="H1104" s="297"/>
      <c r="I1104" s="97" t="str">
        <f ca="1">IF(J1103&gt;=3,(MID(I1103,2,1)&amp;MID(I1103,4,4)-K1103),CELL("address",Z1104))</f>
        <v>G1105</v>
      </c>
      <c r="J1104" s="97" t="str">
        <f ca="1">IF(J1103&gt;=4,(MID(I1104,1,1)&amp;MID(I1104,2,4)+1),CELL("address",AA1104))</f>
        <v>$AA$1104</v>
      </c>
      <c r="K1104" s="97" t="str">
        <f ca="1">IF(J1103&gt;=5,(MID(J1104,1,1)&amp;MID(J1104,2,4)+1),CELL("address",AB1104))</f>
        <v>$AB$1104</v>
      </c>
      <c r="L1104" s="97" t="str">
        <f ca="1">IF(J1103&gt;=6,(MID(K1104,1,1)&amp;MID(K1104,2,4)+1),CELL("address",AC1104))</f>
        <v>$AC$1104</v>
      </c>
      <c r="M1104" s="97" t="str">
        <f ca="1">IF(J1103&gt;=7,(MID(L1104,1,1)&amp;MID(L1104,2,4)+1),CELL("address",AD1104))</f>
        <v>$AD$1104</v>
      </c>
      <c r="N1104" s="97" t="str">
        <f ca="1">IF(J1103&gt;=8,(MID(M1104,1,1)&amp;MID(M1104,2,4)+1),CELL("address",AE1104))</f>
        <v>$AE$1104</v>
      </c>
      <c r="O1104" s="97" t="str">
        <f ca="1">IF(J1103&gt;=9,(MID(N1104,1,1)&amp;MID(N1104,2,4)+1),CELL("address",AF1104))</f>
        <v>$AF$1104</v>
      </c>
      <c r="P1104" s="97" t="str">
        <f ca="1">IF(J1103&gt;=10,(MID(O1104,1,1)&amp;MID(O1104,2,4)+1),CELL("address",AG1104))</f>
        <v>$AG$1104</v>
      </c>
      <c r="Q1104" s="97" t="str">
        <f ca="1">IF(J1103&gt;=11,(MID(P1104,1,1)&amp;MID(P1104,2,4)+1),CELL("address",AH1104))</f>
        <v>$AH$1104</v>
      </c>
      <c r="R1104" s="97" t="str">
        <f ca="1">IF(J1103&gt;=12,(MID(Q1104,1,1)&amp;MID(Q1104,2,4)+1),CELL("address",AI1104))</f>
        <v>$AI$1104</v>
      </c>
    </row>
    <row r="1105" spans="1:8" ht="15" customHeight="1">
      <c r="A1105" s="49"/>
      <c r="B1105" s="58"/>
      <c r="C1105" s="253"/>
      <c r="D1105" s="39"/>
      <c r="E1105" s="45"/>
      <c r="F1105" s="119"/>
      <c r="H1105" s="1"/>
    </row>
    <row r="1106" spans="1:8" ht="15" customHeight="1">
      <c r="A1106" s="49"/>
      <c r="B1106" s="58"/>
      <c r="C1106" s="253"/>
      <c r="D1106" s="44"/>
      <c r="E1106" s="66">
        <f>SUM(E1108:E1112)</f>
        <v>1.0750000000000002</v>
      </c>
      <c r="H1106" s="1"/>
    </row>
    <row r="1107" spans="1:18" ht="15" customHeight="1">
      <c r="A1107" s="299" t="s">
        <v>5</v>
      </c>
      <c r="B1107" s="299"/>
      <c r="C1107" s="63" t="s">
        <v>17</v>
      </c>
      <c r="D1107" s="64" t="s">
        <v>18</v>
      </c>
      <c r="E1107" s="63" t="s">
        <v>7</v>
      </c>
      <c r="F1107" s="97"/>
      <c r="G1107" s="166" t="str">
        <f>CONCATENATE("Misc. Healthy parts/ Non Ferrous  Scrap, Lying at ",C1108,". Quantity in MT - ")</f>
        <v>Misc. Healthy parts/ Non Ferrous  Scrap, Lying at CS Patiala. Quantity in MT - </v>
      </c>
      <c r="H1107" s="297" t="str">
        <f ca="1">CONCATENATE(G1107,G1108,(INDIRECT(I1108)),(INDIRECT(J1108)),(INDIRECT(K1108)),(INDIRECT(L1108)),(INDIRECT(M1108)),(INDIRECT(N1108)),(INDIRECT(O1108)),(INDIRECT(P1108)),(INDIRECT(Q1108)),(INDIRECT(R1108)),".")</f>
        <v>Misc. Healthy parts/ Non Ferrous  Scrap, Lying at CS Patiala. Quantity in MT - Misc. Alumn. Scrap - 0.105, Misc. copper scrap - 0.219, Burnt copper scrap - 0.022, Brass scrap - 0.653, All Alumn. Conductor Scrap - 0.076, .</v>
      </c>
      <c r="I1107" s="97" t="str">
        <f aca="true" ca="1" t="array" ref="I1107">CELL("address",INDEX(G1107:G1130,MATCH(TRUE,ISBLANK(G1107:G1130),0)))</f>
        <v>$G$1113</v>
      </c>
      <c r="J1107" s="97">
        <f aca="true" t="array" ref="J1107">MATCH(TRUE,ISBLANK(G1107:G1130),0)</f>
        <v>7</v>
      </c>
      <c r="K1107" s="97">
        <f>J1107-3</f>
        <v>4</v>
      </c>
      <c r="L1107" s="97"/>
      <c r="M1107" s="97"/>
      <c r="N1107" s="97"/>
      <c r="O1107" s="97"/>
      <c r="P1107" s="97"/>
      <c r="Q1107" s="97"/>
      <c r="R1107" s="97"/>
    </row>
    <row r="1108" spans="1:18" ht="15" customHeight="1">
      <c r="A1108" s="299" t="s">
        <v>80</v>
      </c>
      <c r="B1108" s="299"/>
      <c r="C1108" s="300" t="s">
        <v>52</v>
      </c>
      <c r="D1108" s="59" t="s">
        <v>31</v>
      </c>
      <c r="E1108" s="46">
        <v>0.105</v>
      </c>
      <c r="F1108" s="97"/>
      <c r="G1108" s="100" t="str">
        <f>CONCATENATE(D1108," - ",E1108,", ")</f>
        <v>Misc. Alumn. Scrap - 0.105, </v>
      </c>
      <c r="H1108" s="297"/>
      <c r="I1108" s="97" t="str">
        <f ca="1">IF(J1107&gt;=3,(MID(I1107,2,1)&amp;MID(I1107,4,4)-K1107),CELL("address",Z1108))</f>
        <v>G1109</v>
      </c>
      <c r="J1108" s="97" t="str">
        <f ca="1">IF(J1107&gt;=4,(MID(I1108,1,1)&amp;MID(I1108,2,4)+1),CELL("address",AA1108))</f>
        <v>G1110</v>
      </c>
      <c r="K1108" s="97" t="str">
        <f ca="1">IF(J1107&gt;=5,(MID(J1108,1,1)&amp;MID(J1108,2,4)+1),CELL("address",AB1108))</f>
        <v>G1111</v>
      </c>
      <c r="L1108" s="97" t="str">
        <f ca="1">IF(J1107&gt;=6,(MID(K1108,1,1)&amp;MID(K1108,2,4)+1),CELL("address",AC1108))</f>
        <v>G1112</v>
      </c>
      <c r="M1108" s="97" t="str">
        <f ca="1">IF(J1107&gt;=7,(MID(L1108,1,1)&amp;MID(L1108,2,4)+1),CELL("address",AD1108))</f>
        <v>G1113</v>
      </c>
      <c r="N1108" s="97" t="str">
        <f ca="1">IF(J1107&gt;=8,(MID(M1108,1,1)&amp;MID(M1108,2,4)+1),CELL("address",AE1108))</f>
        <v>$AE$1108</v>
      </c>
      <c r="O1108" s="97" t="str">
        <f ca="1">IF(J1107&gt;=9,(MID(N1108,1,1)&amp;MID(N1108,2,4)+1),CELL("address",AF1108))</f>
        <v>$AF$1108</v>
      </c>
      <c r="P1108" s="97" t="str">
        <f ca="1">IF(J1107&gt;=10,(MID(O1108,1,1)&amp;MID(O1108,2,4)+1),CELL("address",AG1108))</f>
        <v>$AG$1108</v>
      </c>
      <c r="Q1108" s="97" t="str">
        <f ca="1">IF(J1107&gt;=11,(MID(P1108,1,1)&amp;MID(P1108,2,4)+1),CELL("address",AH1108))</f>
        <v>$AH$1108</v>
      </c>
      <c r="R1108" s="97" t="str">
        <f ca="1">IF(J1107&gt;=12,(MID(Q1108,1,1)&amp;MID(Q1108,2,4)+1),CELL("address",AI1108))</f>
        <v>$AI$1108</v>
      </c>
    </row>
    <row r="1109" spans="1:15" ht="15" customHeight="1">
      <c r="A1109" s="299"/>
      <c r="B1109" s="299"/>
      <c r="C1109" s="300"/>
      <c r="D1109" s="59" t="s">
        <v>111</v>
      </c>
      <c r="E1109" s="63">
        <v>0.219</v>
      </c>
      <c r="G1109" s="100" t="str">
        <f>CONCATENATE(D1109," - ",E1109,", ")</f>
        <v>Misc. copper scrap - 0.219, </v>
      </c>
      <c r="H1109" s="97"/>
      <c r="I1109" s="97" t="e">
        <f ca="1">IF(G1108&gt;=6,(MID(H1109,1,1)&amp;MID(H1109,2,4)+1),CELL("address",Z1109))</f>
        <v>#VALUE!</v>
      </c>
      <c r="J1109" s="97" t="e">
        <f ca="1">IF(G1108&gt;=7,(MID(I1109,1,1)&amp;MID(I1109,2,4)+1),CELL("address",AA1109))</f>
        <v>#VALUE!</v>
      </c>
      <c r="K1109" s="97" t="e">
        <f ca="1">IF(G1108&gt;=8,(MID(J1109,1,1)&amp;MID(J1109,2,4)+1),CELL("address",AB1109))</f>
        <v>#VALUE!</v>
      </c>
      <c r="L1109" s="97" t="e">
        <f ca="1">IF(G1108&gt;=9,(MID(K1109,1,1)&amp;MID(K1109,2,4)+1),CELL("address",AC1109))</f>
        <v>#VALUE!</v>
      </c>
      <c r="M1109" s="97" t="e">
        <f ca="1">IF(G1108&gt;=10,(MID(L1109,1,1)&amp;MID(L1109,2,4)+1),CELL("address",AD1109))</f>
        <v>#VALUE!</v>
      </c>
      <c r="N1109" s="97" t="e">
        <f ca="1">IF(G1108&gt;=11,(MID(M1109,1,1)&amp;MID(M1109,2,4)+1),CELL("address",AE1109))</f>
        <v>#VALUE!</v>
      </c>
      <c r="O1109" s="97" t="e">
        <f ca="1">IF(G1108&gt;=12,(MID(N1109,1,1)&amp;MID(N1109,2,4)+1),CELL("address",AF1109))</f>
        <v>#VALUE!</v>
      </c>
    </row>
    <row r="1110" spans="1:8" ht="15" customHeight="1">
      <c r="A1110" s="299"/>
      <c r="B1110" s="299"/>
      <c r="C1110" s="300"/>
      <c r="D1110" s="59" t="s">
        <v>47</v>
      </c>
      <c r="E1110" s="63">
        <v>0.022</v>
      </c>
      <c r="G1110" s="100" t="str">
        <f>CONCATENATE(D1110," - ",E1110,", ")</f>
        <v>Burnt copper scrap - 0.022, </v>
      </c>
      <c r="H1110" s="1"/>
    </row>
    <row r="1111" spans="1:8" ht="15" customHeight="1">
      <c r="A1111" s="299"/>
      <c r="B1111" s="299"/>
      <c r="C1111" s="300"/>
      <c r="D1111" s="39" t="s">
        <v>23</v>
      </c>
      <c r="E1111" s="63">
        <v>0.653</v>
      </c>
      <c r="G1111" s="100" t="str">
        <f>CONCATENATE(D1111," - ",E1111,", ")</f>
        <v>Brass scrap - 0.653, </v>
      </c>
      <c r="H1111" s="1"/>
    </row>
    <row r="1112" spans="1:8" ht="15" customHeight="1">
      <c r="A1112" s="299"/>
      <c r="B1112" s="299"/>
      <c r="C1112" s="300"/>
      <c r="D1112" s="44" t="s">
        <v>32</v>
      </c>
      <c r="E1112" s="63">
        <v>0.076</v>
      </c>
      <c r="G1112" s="91" t="str">
        <f>CONCATENATE(D1112," - ",E1112,", ")</f>
        <v>All Alumn. Conductor Scrap - 0.076, </v>
      </c>
      <c r="H1112" s="1"/>
    </row>
    <row r="1113" spans="1:8" ht="15" customHeight="1">
      <c r="A1113" s="200"/>
      <c r="B1113" s="201"/>
      <c r="C1113" s="199"/>
      <c r="D1113" s="59"/>
      <c r="E1113" s="63"/>
      <c r="H1113" s="1"/>
    </row>
    <row r="1114" spans="1:8" ht="15" customHeight="1">
      <c r="A1114" s="310"/>
      <c r="B1114" s="311"/>
      <c r="C1114" s="65"/>
      <c r="D1114" s="65"/>
      <c r="E1114" s="66">
        <f>SUM(E1116:E1123)</f>
        <v>4.923</v>
      </c>
      <c r="H1114" s="1"/>
    </row>
    <row r="1115" spans="1:18" ht="15" customHeight="1">
      <c r="A1115" s="326" t="s">
        <v>5</v>
      </c>
      <c r="B1115" s="327"/>
      <c r="C1115" s="63" t="s">
        <v>17</v>
      </c>
      <c r="D1115" s="64" t="s">
        <v>18</v>
      </c>
      <c r="E1115" s="67" t="s">
        <v>7</v>
      </c>
      <c r="G1115" s="166" t="str">
        <f>CONCATENATE("Misc. Healthy parts/ Non Ferrous  Scrap, Lying at ",C1116,". Quantity in MT - ")</f>
        <v>Misc. Healthy parts/ Non Ferrous  Scrap, Lying at CS Kotkapura. Quantity in MT - </v>
      </c>
      <c r="H1115" s="297" t="str">
        <f ca="1">CONCATENATE(G1115,G1116,(INDIRECT(I1116)),(INDIRECT(J1116)),(INDIRECT(K1116)),(INDIRECT(L1116)),(INDIRECT(M1116)),(INDIRECT(N1116)),(INDIRECT(O1116)),(INDIRECT(P1116)),(INDIRECT(Q1116)),(INDIRECT(R1116)),".")</f>
        <v>Misc. Healthy parts/ Non Ferrous  Scrap, Lying at CS Kotkapura. Quantity in MT - Brass scrap - 4.046, Misc. Copper scrap - 0.066, Burnt Cu scrap - 0.325, Misc. Aluminium scrap - 0.205, Burnt Aluminium scrap - 0.055, All Alum scrap - 0.09, Alu scrap of damaged T/F accessories - 0.096, Copper scrap - 0.04, .</v>
      </c>
      <c r="I1115" s="97" t="str">
        <f aca="true" ca="1" t="array" ref="I1115">CELL("address",INDEX(G1115:G1137,MATCH(TRUE,ISBLANK(G1115:G1137),0)))</f>
        <v>$G$1124</v>
      </c>
      <c r="J1115" s="97">
        <f aca="true" t="array" ref="J1115">MATCH(TRUE,ISBLANK(G1115:G1137),0)</f>
        <v>10</v>
      </c>
      <c r="K1115" s="97">
        <f>J1115-3</f>
        <v>7</v>
      </c>
      <c r="L1115" s="97"/>
      <c r="M1115" s="97"/>
      <c r="N1115" s="97"/>
      <c r="O1115" s="97"/>
      <c r="P1115" s="97"/>
      <c r="Q1115" s="97"/>
      <c r="R1115" s="97"/>
    </row>
    <row r="1116" spans="1:18" ht="15" customHeight="1">
      <c r="A1116" s="299" t="s">
        <v>514</v>
      </c>
      <c r="B1116" s="299"/>
      <c r="C1116" s="300" t="s">
        <v>43</v>
      </c>
      <c r="D1116" s="39" t="s">
        <v>23</v>
      </c>
      <c r="E1116" s="68">
        <v>4.046</v>
      </c>
      <c r="G1116" s="100" t="str">
        <f aca="true" t="shared" si="8" ref="G1116:G1123">CONCATENATE(D1116," - ",E1116,", ")</f>
        <v>Brass scrap - 4.046, </v>
      </c>
      <c r="H1116" s="297"/>
      <c r="I1116" s="97" t="str">
        <f ca="1">IF(J1115&gt;=3,(MID(I1115,2,1)&amp;MID(I1115,4,4)-K1115),CELL("address",Z1116))</f>
        <v>G1117</v>
      </c>
      <c r="J1116" s="97" t="str">
        <f ca="1">IF(J1115&gt;=4,(MID(I1116,1,1)&amp;MID(I1116,2,4)+1),CELL("address",AA1116))</f>
        <v>G1118</v>
      </c>
      <c r="K1116" s="97" t="str">
        <f ca="1">IF(J1115&gt;=5,(MID(J1116,1,1)&amp;MID(J1116,2,4)+1),CELL("address",AB1116))</f>
        <v>G1119</v>
      </c>
      <c r="L1116" s="97" t="str">
        <f ca="1">IF(J1115&gt;=6,(MID(K1116,1,1)&amp;MID(K1116,2,4)+1),CELL("address",AC1116))</f>
        <v>G1120</v>
      </c>
      <c r="M1116" s="97" t="str">
        <f ca="1">IF(J1115&gt;=7,(MID(L1116,1,1)&amp;MID(L1116,2,4)+1),CELL("address",AD1116))</f>
        <v>G1121</v>
      </c>
      <c r="N1116" s="97" t="str">
        <f ca="1">IF(J1115&gt;=8,(MID(M1116,1,1)&amp;MID(M1116,2,4)+1),CELL("address",AE1116))</f>
        <v>G1122</v>
      </c>
      <c r="O1116" s="97" t="str">
        <f ca="1">IF(J1115&gt;=9,(MID(N1116,1,1)&amp;MID(N1116,2,4)+1),CELL("address",AF1116))</f>
        <v>G1123</v>
      </c>
      <c r="P1116" s="97" t="str">
        <f ca="1">IF(J1115&gt;=10,(MID(O1116,1,1)&amp;MID(O1116,2,4)+1),CELL("address",AG1116))</f>
        <v>G1124</v>
      </c>
      <c r="Q1116" s="97" t="str">
        <f ca="1">IF(J1115&gt;=11,(MID(P1116,1,1)&amp;MID(P1116,2,4)+1),CELL("address",AH1116))</f>
        <v>$AH$1116</v>
      </c>
      <c r="R1116" s="97" t="str">
        <f ca="1">IF(J1115&gt;=12,(MID(Q1116,1,1)&amp;MID(Q1116,2,4)+1),CELL("address",AI1116))</f>
        <v>$AI$1116</v>
      </c>
    </row>
    <row r="1117" spans="1:8" ht="15" customHeight="1">
      <c r="A1117" s="299"/>
      <c r="B1117" s="299"/>
      <c r="C1117" s="300"/>
      <c r="D1117" s="39" t="s">
        <v>45</v>
      </c>
      <c r="E1117" s="68">
        <v>0.066</v>
      </c>
      <c r="G1117" s="100" t="str">
        <f t="shared" si="8"/>
        <v>Misc. Copper scrap - 0.066, </v>
      </c>
      <c r="H1117" s="1"/>
    </row>
    <row r="1118" spans="1:8" ht="15" customHeight="1">
      <c r="A1118" s="299"/>
      <c r="B1118" s="299"/>
      <c r="C1118" s="300"/>
      <c r="D1118" s="38" t="s">
        <v>37</v>
      </c>
      <c r="E1118" s="68">
        <v>0.325</v>
      </c>
      <c r="G1118" s="100" t="str">
        <f t="shared" si="8"/>
        <v>Burnt Cu scrap - 0.325, </v>
      </c>
      <c r="H1118" s="1"/>
    </row>
    <row r="1119" spans="1:8" ht="15" customHeight="1">
      <c r="A1119" s="299"/>
      <c r="B1119" s="299"/>
      <c r="C1119" s="300"/>
      <c r="D1119" s="39" t="s">
        <v>24</v>
      </c>
      <c r="E1119" s="68">
        <v>0.205</v>
      </c>
      <c r="F1119" s="97"/>
      <c r="G1119" s="100" t="str">
        <f t="shared" si="8"/>
        <v>Misc. Aluminium scrap - 0.205, </v>
      </c>
      <c r="H1119" s="1"/>
    </row>
    <row r="1120" spans="1:15" ht="15" customHeight="1">
      <c r="A1120" s="299"/>
      <c r="B1120" s="299"/>
      <c r="C1120" s="300"/>
      <c r="D1120" s="38" t="s">
        <v>41</v>
      </c>
      <c r="E1120" s="68">
        <v>0.055</v>
      </c>
      <c r="F1120" s="97"/>
      <c r="G1120" s="100" t="str">
        <f t="shared" si="8"/>
        <v>Burnt Aluminium scrap - 0.055, </v>
      </c>
      <c r="H1120" s="97"/>
      <c r="I1120" s="97"/>
      <c r="J1120" s="97"/>
      <c r="K1120" s="97"/>
      <c r="L1120" s="97"/>
      <c r="M1120" s="97"/>
      <c r="N1120" s="97"/>
      <c r="O1120" s="97"/>
    </row>
    <row r="1121" spans="1:15" ht="15" customHeight="1">
      <c r="A1121" s="299"/>
      <c r="B1121" s="299"/>
      <c r="C1121" s="300"/>
      <c r="D1121" s="38" t="s">
        <v>344</v>
      </c>
      <c r="E1121" s="68">
        <v>0.09</v>
      </c>
      <c r="G1121" s="100" t="str">
        <f t="shared" si="8"/>
        <v>All Alum scrap - 0.09, </v>
      </c>
      <c r="H1121" s="97"/>
      <c r="I1121" s="97" t="e">
        <f ca="1">IF(G1120&gt;=6,(MID(H1121,1,1)&amp;MID(H1121,2,4)+1),CELL("address",Z1121))</f>
        <v>#VALUE!</v>
      </c>
      <c r="J1121" s="97" t="e">
        <f ca="1">IF(G1120&gt;=7,(MID(I1121,1,1)&amp;MID(I1121,2,4)+1),CELL("address",AA1121))</f>
        <v>#VALUE!</v>
      </c>
      <c r="K1121" s="97" t="e">
        <f ca="1">IF(G1120&gt;=8,(MID(J1121,1,1)&amp;MID(J1121,2,4)+1),CELL("address",AB1121))</f>
        <v>#VALUE!</v>
      </c>
      <c r="L1121" s="97" t="e">
        <f ca="1">IF(G1120&gt;=9,(MID(K1121,1,1)&amp;MID(K1121,2,4)+1),CELL("address",AC1121))</f>
        <v>#VALUE!</v>
      </c>
      <c r="M1121" s="97" t="e">
        <f ca="1">IF(G1120&gt;=10,(MID(L1121,1,1)&amp;MID(L1121,2,4)+1),CELL("address",AD1121))</f>
        <v>#VALUE!</v>
      </c>
      <c r="N1121" s="97" t="e">
        <f ca="1">IF(G1120&gt;=11,(MID(M1121,1,1)&amp;MID(M1121,2,4)+1),CELL("address",AE1121))</f>
        <v>#VALUE!</v>
      </c>
      <c r="O1121" s="97" t="e">
        <f ca="1">IF(G1120&gt;=12,(MID(N1121,1,1)&amp;MID(N1121,2,4)+1),CELL("address",AF1121))</f>
        <v>#VALUE!</v>
      </c>
    </row>
    <row r="1122" spans="1:8" ht="15" customHeight="1">
      <c r="A1122" s="299"/>
      <c r="B1122" s="299"/>
      <c r="C1122" s="300"/>
      <c r="D1122" s="38" t="s">
        <v>345</v>
      </c>
      <c r="E1122" s="68">
        <v>0.096</v>
      </c>
      <c r="G1122" s="100" t="str">
        <f t="shared" si="8"/>
        <v>Alu scrap of damaged T/F accessories - 0.096, </v>
      </c>
      <c r="H1122" s="1"/>
    </row>
    <row r="1123" spans="1:8" ht="15" customHeight="1">
      <c r="A1123" s="299"/>
      <c r="B1123" s="299"/>
      <c r="C1123" s="300"/>
      <c r="D1123" s="38" t="s">
        <v>346</v>
      </c>
      <c r="E1123" s="68">
        <v>0.04</v>
      </c>
      <c r="G1123" s="100" t="str">
        <f t="shared" si="8"/>
        <v>Copper scrap - 0.04, </v>
      </c>
      <c r="H1123" s="1"/>
    </row>
    <row r="1124" spans="1:8" ht="15" customHeight="1">
      <c r="A1124" s="49"/>
      <c r="B1124" s="58"/>
      <c r="C1124" s="253"/>
      <c r="D1124" s="38"/>
      <c r="E1124" s="68"/>
      <c r="F1124" s="97"/>
      <c r="H1124" s="1"/>
    </row>
    <row r="1125" spans="1:15" ht="15" customHeight="1">
      <c r="A1125" s="49"/>
      <c r="B1125" s="58"/>
      <c r="C1125" s="253"/>
      <c r="D1125" s="44"/>
      <c r="E1125" s="66">
        <f>SUM(E1127:E1128)</f>
        <v>0.648</v>
      </c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</row>
    <row r="1126" spans="1:18" ht="15" customHeight="1">
      <c r="A1126" s="299" t="s">
        <v>5</v>
      </c>
      <c r="B1126" s="299"/>
      <c r="C1126" s="63" t="s">
        <v>17</v>
      </c>
      <c r="D1126" s="64" t="s">
        <v>18</v>
      </c>
      <c r="E1126" s="63" t="s">
        <v>7</v>
      </c>
      <c r="G1126" s="166" t="str">
        <f>CONCATENATE("Misc. Healthy parts/ Non Ferrous  Scrap, Lying at ",C1127,". Quantity in MT - ")</f>
        <v>Misc. Healthy parts/ Non Ferrous  Scrap, Lying at OL store Malerkotla. Quantity in MT - </v>
      </c>
      <c r="H1126" s="297" t="str">
        <f ca="1">CONCATENATE(G1126,G1127,(INDIRECT(I1127)),(INDIRECT(J1127)),(INDIRECT(K1127)),(INDIRECT(L1127)),(INDIRECT(M1127)),(INDIRECT(N1127)),(INDIRECT(O1127)),(INDIRECT(P1127)),(INDIRECT(Q1127)),(INDIRECT(R1127)),".")</f>
        <v>Misc. Healthy parts/ Non Ferrous  Scrap, Lying at OL store Malerkotla. Quantity in MT - Misc. Alumn. Scrap - 0.028, Misc. copper scrap - 0.62, .</v>
      </c>
      <c r="I1126" s="97" t="str">
        <f aca="true" ca="1" t="array" ref="I1126">CELL("address",INDEX(G1126:G1148,MATCH(TRUE,ISBLANK(G1126:G1148),0)))</f>
        <v>$G$1129</v>
      </c>
      <c r="J1126" s="97">
        <f aca="true" t="array" ref="J1126">MATCH(TRUE,ISBLANK(G1126:G1148),0)</f>
        <v>4</v>
      </c>
      <c r="K1126" s="97">
        <f>J1126-3</f>
        <v>1</v>
      </c>
      <c r="L1126" s="97"/>
      <c r="M1126" s="97"/>
      <c r="N1126" s="97"/>
      <c r="O1126" s="97"/>
      <c r="P1126" s="97"/>
      <c r="Q1126" s="97"/>
      <c r="R1126" s="97"/>
    </row>
    <row r="1127" spans="1:18" ht="15" customHeight="1">
      <c r="A1127" s="326" t="s">
        <v>44</v>
      </c>
      <c r="B1127" s="327"/>
      <c r="C1127" s="307" t="s">
        <v>116</v>
      </c>
      <c r="D1127" s="59" t="s">
        <v>31</v>
      </c>
      <c r="E1127" s="46">
        <v>0.028</v>
      </c>
      <c r="G1127" s="100" t="str">
        <f>CONCATENATE(D1127," - ",E1127,", ")</f>
        <v>Misc. Alumn. Scrap - 0.028, </v>
      </c>
      <c r="H1127" s="297"/>
      <c r="I1127" s="97" t="str">
        <f ca="1">IF(J1126&gt;=3,(MID(I1126,2,1)&amp;MID(I1126,4,4)-K1126),CELL("address",Z1127))</f>
        <v>G1128</v>
      </c>
      <c r="J1127" s="97" t="str">
        <f ca="1">IF(J1126&gt;=4,(MID(I1127,1,1)&amp;MID(I1127,2,4)+1),CELL("address",AA1127))</f>
        <v>G1129</v>
      </c>
      <c r="K1127" s="97" t="str">
        <f ca="1">IF(J1126&gt;=5,(MID(J1127,1,1)&amp;MID(J1127,2,4)+1),CELL("address",AB1127))</f>
        <v>$AB$1127</v>
      </c>
      <c r="L1127" s="97" t="str">
        <f ca="1">IF(J1126&gt;=6,(MID(K1127,1,1)&amp;MID(K1127,2,4)+1),CELL("address",AC1127))</f>
        <v>$AC$1127</v>
      </c>
      <c r="M1127" s="97" t="str">
        <f ca="1">IF(J1126&gt;=7,(MID(L1127,1,1)&amp;MID(L1127,2,4)+1),CELL("address",AD1127))</f>
        <v>$AD$1127</v>
      </c>
      <c r="N1127" s="97" t="str">
        <f ca="1">IF(J1126&gt;=8,(MID(M1127,1,1)&amp;MID(M1127,2,4)+1),CELL("address",AE1127))</f>
        <v>$AE$1127</v>
      </c>
      <c r="O1127" s="97" t="str">
        <f ca="1">IF(J1126&gt;=9,(MID(N1127,1,1)&amp;MID(N1127,2,4)+1),CELL("address",AF1127))</f>
        <v>$AF$1127</v>
      </c>
      <c r="P1127" s="97" t="str">
        <f ca="1">IF(J1126&gt;=10,(MID(O1127,1,1)&amp;MID(O1127,2,4)+1),CELL("address",AG1127))</f>
        <v>$AG$1127</v>
      </c>
      <c r="Q1127" s="97" t="str">
        <f ca="1">IF(J1126&gt;=11,(MID(P1127,1,1)&amp;MID(P1127,2,4)+1),CELL("address",AH1127))</f>
        <v>$AH$1127</v>
      </c>
      <c r="R1127" s="97" t="str">
        <f ca="1">IF(J1126&gt;=12,(MID(Q1127,1,1)&amp;MID(Q1127,2,4)+1),CELL("address",AI1127))</f>
        <v>$AI$1127</v>
      </c>
    </row>
    <row r="1128" spans="1:8" ht="15" customHeight="1">
      <c r="A1128" s="330"/>
      <c r="B1128" s="331"/>
      <c r="C1128" s="309"/>
      <c r="D1128" s="59" t="s">
        <v>111</v>
      </c>
      <c r="E1128" s="63">
        <v>0.62</v>
      </c>
      <c r="G1128" s="100" t="str">
        <f>CONCATENATE(D1128," - ",E1128,", ")</f>
        <v>Misc. copper scrap - 0.62, </v>
      </c>
      <c r="H1128" s="1"/>
    </row>
    <row r="1129" spans="1:8" ht="15" customHeight="1">
      <c r="A1129" s="301"/>
      <c r="B1129" s="306"/>
      <c r="C1129" s="250"/>
      <c r="D1129" s="59"/>
      <c r="E1129" s="63"/>
      <c r="F1129" s="97"/>
      <c r="H1129" s="1"/>
    </row>
    <row r="1130" spans="1:15" ht="15" customHeight="1">
      <c r="A1130" s="310"/>
      <c r="B1130" s="311"/>
      <c r="C1130" s="65"/>
      <c r="D1130" s="65"/>
      <c r="E1130" s="66">
        <f>SUM(E1132:E1133)</f>
        <v>0.10800000000000001</v>
      </c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</row>
    <row r="1131" spans="1:18" ht="15" customHeight="1">
      <c r="A1131" s="299" t="s">
        <v>5</v>
      </c>
      <c r="B1131" s="299"/>
      <c r="C1131" s="63" t="s">
        <v>17</v>
      </c>
      <c r="D1131" s="64" t="s">
        <v>18</v>
      </c>
      <c r="E1131" s="63" t="s">
        <v>7</v>
      </c>
      <c r="G1131" s="166" t="str">
        <f>CONCATENATE("Misc. Healthy parts/ Non Ferrous  Scrap, Lying at ",C1132,". Quantity in MT - ")</f>
        <v>Misc. Healthy parts/ Non Ferrous  Scrap, Lying at TRY Malerkotla. Quantity in MT - </v>
      </c>
      <c r="H1131" s="297" t="str">
        <f ca="1">CONCATENATE(G1131,G1132,(INDIRECT(I1132)),(INDIRECT(J1132)),(INDIRECT(K1132)),(INDIRECT(L1132)),(INDIRECT(M1132)),(INDIRECT(N1132)),(INDIRECT(O1132)),(INDIRECT(P1132)),(INDIRECT(Q1132)),(INDIRECT(R1132)),".")</f>
        <v>Misc. Healthy parts/ Non Ferrous  Scrap, Lying at TRY Malerkotla. Quantity in MT - Brass scrap - 0.101, Misc. Alumn. Scrap - 0.007, .</v>
      </c>
      <c r="I1131" s="97" t="str">
        <f aca="true" ca="1" t="array" ref="I1131">CELL("address",INDEX(G1131:G1153,MATCH(TRUE,ISBLANK(G1131:G1153),0)))</f>
        <v>$G$1134</v>
      </c>
      <c r="J1131" s="97">
        <f aca="true" t="array" ref="J1131">MATCH(TRUE,ISBLANK(G1131:G1153),0)</f>
        <v>4</v>
      </c>
      <c r="K1131" s="97">
        <f>J1131-3</f>
        <v>1</v>
      </c>
      <c r="L1131" s="97"/>
      <c r="M1131" s="97"/>
      <c r="N1131" s="97"/>
      <c r="O1131" s="97"/>
      <c r="P1131" s="97"/>
      <c r="Q1131" s="97"/>
      <c r="R1131" s="97"/>
    </row>
    <row r="1132" spans="1:18" ht="15" customHeight="1">
      <c r="A1132" s="299" t="s">
        <v>53</v>
      </c>
      <c r="B1132" s="299"/>
      <c r="C1132" s="300" t="s">
        <v>28</v>
      </c>
      <c r="D1132" s="44" t="s">
        <v>23</v>
      </c>
      <c r="E1132" s="44">
        <v>0.101</v>
      </c>
      <c r="G1132" s="100" t="str">
        <f>CONCATENATE(D1132," - ",E1132,", ")</f>
        <v>Brass scrap - 0.101, </v>
      </c>
      <c r="H1132" s="297"/>
      <c r="I1132" s="97" t="str">
        <f ca="1">IF(J1131&gt;=3,(MID(I1131,2,1)&amp;MID(I1131,4,4)-K1131),CELL("address",Z1132))</f>
        <v>G1133</v>
      </c>
      <c r="J1132" s="97" t="str">
        <f ca="1">IF(J1131&gt;=4,(MID(I1132,1,1)&amp;MID(I1132,2,4)+1),CELL("address",AA1132))</f>
        <v>G1134</v>
      </c>
      <c r="K1132" s="97" t="str">
        <f ca="1">IF(J1131&gt;=5,(MID(J1132,1,1)&amp;MID(J1132,2,4)+1),CELL("address",AB1132))</f>
        <v>$AB$1132</v>
      </c>
      <c r="L1132" s="97" t="str">
        <f ca="1">IF(J1131&gt;=6,(MID(K1132,1,1)&amp;MID(K1132,2,4)+1),CELL("address",AC1132))</f>
        <v>$AC$1132</v>
      </c>
      <c r="M1132" s="97" t="str">
        <f ca="1">IF(J1131&gt;=7,(MID(L1132,1,1)&amp;MID(L1132,2,4)+1),CELL("address",AD1132))</f>
        <v>$AD$1132</v>
      </c>
      <c r="N1132" s="97" t="str">
        <f ca="1">IF(J1131&gt;=8,(MID(M1132,1,1)&amp;MID(M1132,2,4)+1),CELL("address",AE1132))</f>
        <v>$AE$1132</v>
      </c>
      <c r="O1132" s="97" t="str">
        <f ca="1">IF(J1131&gt;=9,(MID(N1132,1,1)&amp;MID(N1132,2,4)+1),CELL("address",AF1132))</f>
        <v>$AF$1132</v>
      </c>
      <c r="P1132" s="97" t="str">
        <f ca="1">IF(J1131&gt;=10,(MID(O1132,1,1)&amp;MID(O1132,2,4)+1),CELL("address",AG1132))</f>
        <v>$AG$1132</v>
      </c>
      <c r="Q1132" s="97" t="str">
        <f ca="1">IF(J1131&gt;=11,(MID(P1132,1,1)&amp;MID(P1132,2,4)+1),CELL("address",AH1132))</f>
        <v>$AH$1132</v>
      </c>
      <c r="R1132" s="97" t="str">
        <f ca="1">IF(J1131&gt;=12,(MID(Q1132,1,1)&amp;MID(Q1132,2,4)+1),CELL("address",AI1132))</f>
        <v>$AI$1132</v>
      </c>
    </row>
    <row r="1133" spans="1:8" ht="15" customHeight="1">
      <c r="A1133" s="299"/>
      <c r="B1133" s="299"/>
      <c r="C1133" s="300"/>
      <c r="D1133" s="44" t="s">
        <v>31</v>
      </c>
      <c r="E1133" s="63">
        <v>0.007</v>
      </c>
      <c r="G1133" s="100" t="str">
        <f>CONCATENATE(D1133," - ",E1133,", ")</f>
        <v>Misc. Alumn. Scrap - 0.007, </v>
      </c>
      <c r="H1133" s="1"/>
    </row>
    <row r="1134" spans="1:8" ht="15" customHeight="1">
      <c r="A1134" s="301"/>
      <c r="B1134" s="306"/>
      <c r="C1134" s="250"/>
      <c r="D1134" s="44"/>
      <c r="E1134" s="63"/>
      <c r="H1134" s="1"/>
    </row>
    <row r="1135" spans="1:8" ht="15" customHeight="1">
      <c r="A1135" s="310"/>
      <c r="B1135" s="311"/>
      <c r="C1135" s="65"/>
      <c r="D1135" s="65"/>
      <c r="E1135" s="66">
        <f>SUM(E1137:E1141)</f>
        <v>2.116</v>
      </c>
      <c r="H1135" s="1"/>
    </row>
    <row r="1136" spans="1:18" ht="15" customHeight="1">
      <c r="A1136" s="301" t="s">
        <v>5</v>
      </c>
      <c r="B1136" s="306"/>
      <c r="C1136" s="63" t="s">
        <v>17</v>
      </c>
      <c r="D1136" s="64" t="s">
        <v>18</v>
      </c>
      <c r="E1136" s="63" t="s">
        <v>7</v>
      </c>
      <c r="G1136" s="166" t="str">
        <f>CONCATENATE("Misc. Healthy parts/ Non Ferrous  Scrap, Lying at ",C1137,". Quantity in MT - ")</f>
        <v>Misc. Healthy parts/ Non Ferrous  Scrap, Lying at TRY Patran. Quantity in MT - </v>
      </c>
      <c r="H1136" s="297" t="str">
        <f ca="1">CONCATENATE(G1136,G1137,(INDIRECT(I1137)),(INDIRECT(J1137)),(INDIRECT(K1137)),(INDIRECT(L1137)),(INDIRECT(M1137)),(INDIRECT(N1137)),(INDIRECT(O1137)),(INDIRECT(P1137)),(INDIRECT(Q1137)),(INDIRECT(R1137)),".")</f>
        <v>Misc. Healthy parts/ Non Ferrous  Scrap, Lying at TRY Patran. Quantity in MT - Brass scrap - 0.921, Misc. Aluminium scrap - 0.119, Burnt Cu scrap - 0.04, Ms Nuts &amp; Bolts - 0.9, Iron scrap - 0.136, .</v>
      </c>
      <c r="I1136" s="97" t="str">
        <f aca="true" ca="1" t="array" ref="I1136">CELL("address",INDEX(G1136:G1158,MATCH(TRUE,ISBLANK(G1136:G1158),0)))</f>
        <v>$G$1142</v>
      </c>
      <c r="J1136" s="97">
        <f aca="true" t="array" ref="J1136">MATCH(TRUE,ISBLANK(G1136:G1158),0)</f>
        <v>7</v>
      </c>
      <c r="K1136" s="97">
        <f>J1136-3</f>
        <v>4</v>
      </c>
      <c r="L1136" s="97"/>
      <c r="M1136" s="97"/>
      <c r="N1136" s="97"/>
      <c r="O1136" s="97"/>
      <c r="P1136" s="97"/>
      <c r="Q1136" s="97"/>
      <c r="R1136" s="97"/>
    </row>
    <row r="1137" spans="1:18" ht="15" customHeight="1">
      <c r="A1137" s="299" t="s">
        <v>115</v>
      </c>
      <c r="B1137" s="299"/>
      <c r="C1137" s="307" t="s">
        <v>136</v>
      </c>
      <c r="D1137" s="39" t="s">
        <v>23</v>
      </c>
      <c r="E1137" s="45">
        <v>0.921</v>
      </c>
      <c r="F1137" s="97"/>
      <c r="G1137" s="100" t="str">
        <f>CONCATENATE(D1137," - ",E1137,", ")</f>
        <v>Brass scrap - 0.921, </v>
      </c>
      <c r="H1137" s="297"/>
      <c r="I1137" s="97" t="str">
        <f ca="1">IF(J1136&gt;=3,(MID(I1136,2,1)&amp;MID(I1136,4,4)-K1136),CELL("address",Z1137))</f>
        <v>G1138</v>
      </c>
      <c r="J1137" s="97" t="str">
        <f ca="1">IF(J1136&gt;=4,(MID(I1137,1,1)&amp;MID(I1137,2,4)+1),CELL("address",AA1137))</f>
        <v>G1139</v>
      </c>
      <c r="K1137" s="97" t="str">
        <f ca="1">IF(J1136&gt;=5,(MID(J1137,1,1)&amp;MID(J1137,2,4)+1),CELL("address",AB1137))</f>
        <v>G1140</v>
      </c>
      <c r="L1137" s="97" t="str">
        <f ca="1">IF(J1136&gt;=6,(MID(K1137,1,1)&amp;MID(K1137,2,4)+1),CELL("address",AC1137))</f>
        <v>G1141</v>
      </c>
      <c r="M1137" s="97" t="str">
        <f ca="1">IF(J1136&gt;=7,(MID(L1137,1,1)&amp;MID(L1137,2,4)+1),CELL("address",AD1137))</f>
        <v>G1142</v>
      </c>
      <c r="N1137" s="97" t="str">
        <f ca="1">IF(J1136&gt;=8,(MID(M1137,1,1)&amp;MID(M1137,2,4)+1),CELL("address",AE1137))</f>
        <v>$AE$1137</v>
      </c>
      <c r="O1137" s="97" t="str">
        <f ca="1">IF(J1136&gt;=9,(MID(N1137,1,1)&amp;MID(N1137,2,4)+1),CELL("address",AF1137))</f>
        <v>$AF$1137</v>
      </c>
      <c r="P1137" s="97" t="str">
        <f ca="1">IF(J1136&gt;=10,(MID(O1137,1,1)&amp;MID(O1137,2,4)+1),CELL("address",AG1137))</f>
        <v>$AG$1137</v>
      </c>
      <c r="Q1137" s="97" t="str">
        <f ca="1">IF(J1136&gt;=11,(MID(P1137,1,1)&amp;MID(P1137,2,4)+1),CELL("address",AH1137))</f>
        <v>$AH$1137</v>
      </c>
      <c r="R1137" s="97" t="str">
        <f ca="1">IF(J1136&gt;=12,(MID(Q1137,1,1)&amp;MID(Q1137,2,4)+1),CELL("address",AI1137))</f>
        <v>$AI$1137</v>
      </c>
    </row>
    <row r="1138" spans="1:15" ht="15" customHeight="1">
      <c r="A1138" s="299"/>
      <c r="B1138" s="299"/>
      <c r="C1138" s="308"/>
      <c r="D1138" s="39" t="s">
        <v>24</v>
      </c>
      <c r="E1138" s="45">
        <v>0.119</v>
      </c>
      <c r="F1138" s="97"/>
      <c r="G1138" s="100" t="str">
        <f>CONCATENATE(D1138," - ",E1138,", ")</f>
        <v>Misc. Aluminium scrap - 0.119, </v>
      </c>
      <c r="H1138" s="97"/>
      <c r="I1138" s="97"/>
      <c r="J1138" s="97"/>
      <c r="K1138" s="97"/>
      <c r="L1138" s="97"/>
      <c r="M1138" s="97"/>
      <c r="N1138" s="97"/>
      <c r="O1138" s="97"/>
    </row>
    <row r="1139" spans="1:15" ht="15" customHeight="1">
      <c r="A1139" s="299"/>
      <c r="B1139" s="299"/>
      <c r="C1139" s="308"/>
      <c r="D1139" s="39" t="s">
        <v>37</v>
      </c>
      <c r="E1139" s="45">
        <v>0.04</v>
      </c>
      <c r="G1139" s="100" t="str">
        <f>CONCATENATE(D1139," - ",E1139,", ")</f>
        <v>Burnt Cu scrap - 0.04, </v>
      </c>
      <c r="H1139" s="97"/>
      <c r="I1139" s="97" t="e">
        <f ca="1">IF(G1138&gt;=6,(MID(H1139,1,1)&amp;MID(H1139,2,4)+1),CELL("address",Z1139))</f>
        <v>#VALUE!</v>
      </c>
      <c r="J1139" s="97" t="e">
        <f ca="1">IF(G1138&gt;=7,(MID(I1139,1,1)&amp;MID(I1139,2,4)+1),CELL("address",AA1139))</f>
        <v>#VALUE!</v>
      </c>
      <c r="K1139" s="97" t="e">
        <f ca="1">IF(G1138&gt;=8,(MID(J1139,1,1)&amp;MID(J1139,2,4)+1),CELL("address",AB1139))</f>
        <v>#VALUE!</v>
      </c>
      <c r="L1139" s="97" t="e">
        <f ca="1">IF(G1138&gt;=9,(MID(K1139,1,1)&amp;MID(K1139,2,4)+1),CELL("address",AC1139))</f>
        <v>#VALUE!</v>
      </c>
      <c r="M1139" s="97" t="e">
        <f ca="1">IF(G1138&gt;=10,(MID(L1139,1,1)&amp;MID(L1139,2,4)+1),CELL("address",AD1139))</f>
        <v>#VALUE!</v>
      </c>
      <c r="N1139" s="97" t="e">
        <f ca="1">IF(G1138&gt;=11,(MID(M1139,1,1)&amp;MID(M1139,2,4)+1),CELL("address",AE1139))</f>
        <v>#VALUE!</v>
      </c>
      <c r="O1139" s="97" t="e">
        <f ca="1">IF(G1138&gt;=12,(MID(N1139,1,1)&amp;MID(N1139,2,4)+1),CELL("address",AF1139))</f>
        <v>#VALUE!</v>
      </c>
    </row>
    <row r="1140" spans="1:8" ht="15" customHeight="1">
      <c r="A1140" s="299"/>
      <c r="B1140" s="299"/>
      <c r="C1140" s="308"/>
      <c r="D1140" s="44" t="s">
        <v>147</v>
      </c>
      <c r="E1140" s="45">
        <v>0.9</v>
      </c>
      <c r="G1140" s="100" t="str">
        <f>CONCATENATE(D1140," - ",E1140,", ")</f>
        <v>Ms Nuts &amp; Bolts - 0.9, </v>
      </c>
      <c r="H1140" s="1"/>
    </row>
    <row r="1141" spans="1:8" ht="15" customHeight="1">
      <c r="A1141" s="299"/>
      <c r="B1141" s="299"/>
      <c r="C1141" s="309"/>
      <c r="D1141" s="39" t="s">
        <v>27</v>
      </c>
      <c r="E1141" s="45">
        <v>0.136</v>
      </c>
      <c r="G1141" s="100" t="str">
        <f>CONCATENATE(D1141," - ",E1141,", ")</f>
        <v>Iron scrap - 0.136, </v>
      </c>
      <c r="H1141" s="1"/>
    </row>
    <row r="1142" spans="1:8" ht="15" customHeight="1">
      <c r="A1142" s="49"/>
      <c r="B1142" s="58"/>
      <c r="C1142" s="253"/>
      <c r="D1142" s="44"/>
      <c r="E1142" s="45"/>
      <c r="F1142" s="97"/>
      <c r="H1142" s="1"/>
    </row>
    <row r="1143" spans="1:15" ht="15" customHeight="1">
      <c r="A1143" s="310"/>
      <c r="B1143" s="311"/>
      <c r="C1143" s="65"/>
      <c r="D1143" s="65"/>
      <c r="E1143" s="66">
        <f>SUM(E1145:E1146)</f>
        <v>1.222</v>
      </c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</row>
    <row r="1144" spans="1:18" ht="15" customHeight="1">
      <c r="A1144" s="299" t="s">
        <v>5</v>
      </c>
      <c r="B1144" s="299"/>
      <c r="C1144" s="63" t="s">
        <v>17</v>
      </c>
      <c r="D1144" s="64" t="s">
        <v>18</v>
      </c>
      <c r="E1144" s="63" t="s">
        <v>7</v>
      </c>
      <c r="G1144" s="166" t="str">
        <f>CONCATENATE("Misc. Healthy parts/ Non Ferrous  Scrap, Lying at ",C1145,". Quantity in MT - ")</f>
        <v>Misc. Healthy parts/ Non Ferrous  Scrap, Lying at TRY Patran. Quantity in MT - </v>
      </c>
      <c r="H1144" s="297" t="str">
        <f ca="1">CONCATENATE(G1144,G1145,(INDIRECT(I1145)),(INDIRECT(J1145)),(INDIRECT(K1145)),(INDIRECT(L1145)),(INDIRECT(M1145)),(INDIRECT(N1145)),(INDIRECT(O1145)),(INDIRECT(P1145)),(INDIRECT(Q1145)),(INDIRECT(R1145)),".")</f>
        <v>Misc. Healthy parts/ Non Ferrous  Scrap, Lying at TRY Patran. Quantity in MT - Brass scrap - 1.148, Misc. Alumn. Scrap - 0.074, .</v>
      </c>
      <c r="I1144" s="97" t="str">
        <f aca="true" ca="1" t="array" ref="I1144">CELL("address",INDEX(G1144:G1166,MATCH(TRUE,ISBLANK(G1144:G1166),0)))</f>
        <v>$G$1147</v>
      </c>
      <c r="J1144" s="97">
        <f aca="true" t="array" ref="J1144">MATCH(TRUE,ISBLANK(G1144:G1166),0)</f>
        <v>4</v>
      </c>
      <c r="K1144" s="97">
        <f>J1144-3</f>
        <v>1</v>
      </c>
      <c r="L1144" s="97"/>
      <c r="M1144" s="97"/>
      <c r="N1144" s="97"/>
      <c r="O1144" s="97"/>
      <c r="P1144" s="97"/>
      <c r="Q1144" s="97"/>
      <c r="R1144" s="97"/>
    </row>
    <row r="1145" spans="1:18" ht="15" customHeight="1">
      <c r="A1145" s="299" t="s">
        <v>117</v>
      </c>
      <c r="B1145" s="299"/>
      <c r="C1145" s="300" t="s">
        <v>136</v>
      </c>
      <c r="D1145" s="44" t="s">
        <v>23</v>
      </c>
      <c r="E1145" s="44">
        <v>1.148</v>
      </c>
      <c r="G1145" s="100" t="str">
        <f>CONCATENATE(D1145," - ",E1145,", ")</f>
        <v>Brass scrap - 1.148, </v>
      </c>
      <c r="H1145" s="297"/>
      <c r="I1145" s="97" t="str">
        <f ca="1">IF(J1144&gt;=3,(MID(I1144,2,1)&amp;MID(I1144,4,4)-K1144),CELL("address",Z1145))</f>
        <v>G1146</v>
      </c>
      <c r="J1145" s="97" t="str">
        <f ca="1">IF(J1144&gt;=4,(MID(I1145,1,1)&amp;MID(I1145,2,4)+1),CELL("address",AA1145))</f>
        <v>G1147</v>
      </c>
      <c r="K1145" s="97" t="str">
        <f ca="1">IF(J1144&gt;=5,(MID(J1145,1,1)&amp;MID(J1145,2,4)+1),CELL("address",AB1145))</f>
        <v>$AB$1145</v>
      </c>
      <c r="L1145" s="97" t="str">
        <f ca="1">IF(J1144&gt;=6,(MID(K1145,1,1)&amp;MID(K1145,2,4)+1),CELL("address",AC1145))</f>
        <v>$AC$1145</v>
      </c>
      <c r="M1145" s="97" t="str">
        <f ca="1">IF(J1144&gt;=7,(MID(L1145,1,1)&amp;MID(L1145,2,4)+1),CELL("address",AD1145))</f>
        <v>$AD$1145</v>
      </c>
      <c r="N1145" s="97" t="str">
        <f ca="1">IF(J1144&gt;=8,(MID(M1145,1,1)&amp;MID(M1145,2,4)+1),CELL("address",AE1145))</f>
        <v>$AE$1145</v>
      </c>
      <c r="O1145" s="97" t="str">
        <f ca="1">IF(J1144&gt;=9,(MID(N1145,1,1)&amp;MID(N1145,2,4)+1),CELL("address",AF1145))</f>
        <v>$AF$1145</v>
      </c>
      <c r="P1145" s="97" t="str">
        <f ca="1">IF(J1144&gt;=10,(MID(O1145,1,1)&amp;MID(O1145,2,4)+1),CELL("address",AG1145))</f>
        <v>$AG$1145</v>
      </c>
      <c r="Q1145" s="97" t="str">
        <f ca="1">IF(J1144&gt;=11,(MID(P1145,1,1)&amp;MID(P1145,2,4)+1),CELL("address",AH1145))</f>
        <v>$AH$1145</v>
      </c>
      <c r="R1145" s="97" t="str">
        <f ca="1">IF(J1144&gt;=12,(MID(Q1145,1,1)&amp;MID(Q1145,2,4)+1),CELL("address",AI1145))</f>
        <v>$AI$1145</v>
      </c>
    </row>
    <row r="1146" spans="1:8" ht="15" customHeight="1">
      <c r="A1146" s="299"/>
      <c r="B1146" s="299"/>
      <c r="C1146" s="300"/>
      <c r="D1146" s="44" t="s">
        <v>31</v>
      </c>
      <c r="E1146" s="63">
        <v>0.074</v>
      </c>
      <c r="G1146" s="100" t="str">
        <f>CONCATENATE(D1146," - ",E1146,", ")</f>
        <v>Misc. Alumn. Scrap - 0.074, </v>
      </c>
      <c r="H1146" s="1"/>
    </row>
    <row r="1147" spans="1:8" ht="15" customHeight="1">
      <c r="A1147" s="34"/>
      <c r="F1147" s="97"/>
      <c r="H1147" s="1"/>
    </row>
    <row r="1148" spans="1:15" ht="15" customHeight="1">
      <c r="A1148" s="310"/>
      <c r="B1148" s="311"/>
      <c r="C1148" s="65"/>
      <c r="D1148" s="65"/>
      <c r="E1148" s="66">
        <f>SUM(E1150:E1151)</f>
        <v>2.17</v>
      </c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</row>
    <row r="1149" spans="1:18" ht="15" customHeight="1">
      <c r="A1149" s="299" t="s">
        <v>5</v>
      </c>
      <c r="B1149" s="299"/>
      <c r="C1149" s="63" t="s">
        <v>17</v>
      </c>
      <c r="D1149" s="64" t="s">
        <v>18</v>
      </c>
      <c r="E1149" s="63" t="s">
        <v>7</v>
      </c>
      <c r="G1149" s="166" t="str">
        <f>CONCATENATE("Misc. Healthy parts/ Non Ferrous  Scrap, Lying at ",C1150,". Quantity in MT - ")</f>
        <v>Misc. Healthy parts/ Non Ferrous  Scrap, Lying at TRY Ropar. Quantity in MT - </v>
      </c>
      <c r="H1149" s="297" t="str">
        <f ca="1">CONCATENATE(G1149,G1150,(INDIRECT(I1150)),(INDIRECT(J1150)),(INDIRECT(K1150)),(INDIRECT(L1150)),(INDIRECT(M1150)),(INDIRECT(N1150)),(INDIRECT(O1150)),(INDIRECT(P1150)),(INDIRECT(Q1150)),(INDIRECT(R1150)),".")</f>
        <v>Misc. Healthy parts/ Non Ferrous  Scrap, Lying at TRY Ropar. Quantity in MT - Brass scrap - 2.007, Misc. Alumn. Scrap - 0.163, .</v>
      </c>
      <c r="I1149" s="97" t="str">
        <f aca="true" ca="1" t="array" ref="I1149">CELL("address",INDEX(G1149:G1171,MATCH(TRUE,ISBLANK(G1149:G1171),0)))</f>
        <v>$G$1152</v>
      </c>
      <c r="J1149" s="97">
        <f aca="true" t="array" ref="J1149">MATCH(TRUE,ISBLANK(G1149:G1171),0)</f>
        <v>4</v>
      </c>
      <c r="K1149" s="97">
        <f>J1149-3</f>
        <v>1</v>
      </c>
      <c r="L1149" s="97"/>
      <c r="M1149" s="97"/>
      <c r="N1149" s="97"/>
      <c r="O1149" s="97"/>
      <c r="P1149" s="97"/>
      <c r="Q1149" s="97"/>
      <c r="R1149" s="97"/>
    </row>
    <row r="1150" spans="1:18" ht="15" customHeight="1">
      <c r="A1150" s="299" t="s">
        <v>118</v>
      </c>
      <c r="B1150" s="299"/>
      <c r="C1150" s="300" t="s">
        <v>143</v>
      </c>
      <c r="D1150" s="44" t="s">
        <v>23</v>
      </c>
      <c r="E1150" s="44">
        <v>2.007</v>
      </c>
      <c r="G1150" s="100" t="str">
        <f>CONCATENATE(D1150," - ",E1150,", ")</f>
        <v>Brass scrap - 2.007, </v>
      </c>
      <c r="H1150" s="297"/>
      <c r="I1150" s="97" t="str">
        <f ca="1">IF(J1149&gt;=3,(MID(I1149,2,1)&amp;MID(I1149,4,4)-K1149),CELL("address",Z1150))</f>
        <v>G1151</v>
      </c>
      <c r="J1150" s="97" t="str">
        <f ca="1">IF(J1149&gt;=4,(MID(I1150,1,1)&amp;MID(I1150,2,4)+1),CELL("address",AA1150))</f>
        <v>G1152</v>
      </c>
      <c r="K1150" s="97" t="str">
        <f ca="1">IF(J1149&gt;=5,(MID(J1150,1,1)&amp;MID(J1150,2,4)+1),CELL("address",AB1150))</f>
        <v>$AB$1150</v>
      </c>
      <c r="L1150" s="97" t="str">
        <f ca="1">IF(J1149&gt;=6,(MID(K1150,1,1)&amp;MID(K1150,2,4)+1),CELL("address",AC1150))</f>
        <v>$AC$1150</v>
      </c>
      <c r="M1150" s="97" t="str">
        <f ca="1">IF(J1149&gt;=7,(MID(L1150,1,1)&amp;MID(L1150,2,4)+1),CELL("address",AD1150))</f>
        <v>$AD$1150</v>
      </c>
      <c r="N1150" s="97" t="str">
        <f ca="1">IF(J1149&gt;=8,(MID(M1150,1,1)&amp;MID(M1150,2,4)+1),CELL("address",AE1150))</f>
        <v>$AE$1150</v>
      </c>
      <c r="O1150" s="97" t="str">
        <f ca="1">IF(J1149&gt;=9,(MID(N1150,1,1)&amp;MID(N1150,2,4)+1),CELL("address",AF1150))</f>
        <v>$AF$1150</v>
      </c>
      <c r="P1150" s="97" t="str">
        <f ca="1">IF(J1149&gt;=10,(MID(O1150,1,1)&amp;MID(O1150,2,4)+1),CELL("address",AG1150))</f>
        <v>$AG$1150</v>
      </c>
      <c r="Q1150" s="97" t="str">
        <f ca="1">IF(J1149&gt;=11,(MID(P1150,1,1)&amp;MID(P1150,2,4)+1),CELL("address",AH1150))</f>
        <v>$AH$1150</v>
      </c>
      <c r="R1150" s="97" t="str">
        <f ca="1">IF(J1149&gt;=12,(MID(Q1150,1,1)&amp;MID(Q1150,2,4)+1),CELL("address",AI1150))</f>
        <v>$AI$1150</v>
      </c>
    </row>
    <row r="1151" spans="1:8" ht="15" customHeight="1">
      <c r="A1151" s="299"/>
      <c r="B1151" s="299"/>
      <c r="C1151" s="300"/>
      <c r="D1151" s="44" t="s">
        <v>31</v>
      </c>
      <c r="E1151" s="63">
        <v>0.163</v>
      </c>
      <c r="G1151" s="100" t="str">
        <f>CONCATENATE(D1151," - ",E1151,", ")</f>
        <v>Misc. Alumn. Scrap - 0.163, </v>
      </c>
      <c r="H1151" s="1"/>
    </row>
    <row r="1152" spans="1:8" ht="15" customHeight="1">
      <c r="A1152" s="50"/>
      <c r="B1152" s="53"/>
      <c r="C1152" s="18"/>
      <c r="D1152" s="82"/>
      <c r="E1152" s="81"/>
      <c r="H1152" s="1"/>
    </row>
    <row r="1153" spans="1:8" ht="15" customHeight="1">
      <c r="A1153" s="310"/>
      <c r="B1153" s="311"/>
      <c r="C1153" s="65"/>
      <c r="D1153" s="65"/>
      <c r="E1153" s="66">
        <f>SUM(E1155:E1160)</f>
        <v>1.9560000000000002</v>
      </c>
      <c r="H1153" s="1"/>
    </row>
    <row r="1154" spans="1:18" ht="15" customHeight="1">
      <c r="A1154" s="299" t="s">
        <v>5</v>
      </c>
      <c r="B1154" s="299"/>
      <c r="C1154" s="63" t="s">
        <v>17</v>
      </c>
      <c r="D1154" s="64" t="s">
        <v>18</v>
      </c>
      <c r="E1154" s="63" t="s">
        <v>7</v>
      </c>
      <c r="G1154" s="166" t="str">
        <f>CONCATENATE("Misc. Healthy parts/ Non Ferrous  Scrap, Lying at ",C1155,". Quantity in MT - ")</f>
        <v>Misc. Healthy parts/ Non Ferrous  Scrap, Lying at TRY Patiala. Quantity in MT - </v>
      </c>
      <c r="H1154" s="297" t="str">
        <f ca="1">CONCATENATE(G1154,G1155,(INDIRECT(I1155)),(INDIRECT(J1155)),(INDIRECT(K1155)),(INDIRECT(L1155)),(INDIRECT(M1155)),(INDIRECT(N1155)),(INDIRECT(O1155)),(INDIRECT(P1155)),(INDIRECT(Q1155)),(INDIRECT(R1155)),".")</f>
        <v>Misc. Healthy parts/ Non Ferrous  Scrap, Lying at TRY Patiala. Quantity in MT - Brass scrap - 0.768, Misc. Alumn. Scrap - 0.069, Burnt Cu scrap - 0.055, Nuts &amp; Bolts scrap - 0.87, Teen Patra scrap - 0.136, M.S Iron scrap - 0.058, .</v>
      </c>
      <c r="I1154" s="97" t="str">
        <f aca="true" ca="1" t="array" ref="I1154">CELL("address",INDEX(G1154:G1176,MATCH(TRUE,ISBLANK(G1154:G1176),0)))</f>
        <v>$G$1161</v>
      </c>
      <c r="J1154" s="97">
        <f aca="true" t="array" ref="J1154">MATCH(TRUE,ISBLANK(G1154:G1176),0)</f>
        <v>8</v>
      </c>
      <c r="K1154" s="97">
        <f>J1154-3</f>
        <v>5</v>
      </c>
      <c r="L1154" s="97"/>
      <c r="M1154" s="97"/>
      <c r="N1154" s="97"/>
      <c r="O1154" s="97"/>
      <c r="P1154" s="97"/>
      <c r="Q1154" s="97"/>
      <c r="R1154" s="97"/>
    </row>
    <row r="1155" spans="1:18" ht="15" customHeight="1">
      <c r="A1155" s="299" t="s">
        <v>125</v>
      </c>
      <c r="B1155" s="299"/>
      <c r="C1155" s="300" t="s">
        <v>120</v>
      </c>
      <c r="D1155" s="44" t="s">
        <v>23</v>
      </c>
      <c r="E1155" s="46">
        <v>0.768</v>
      </c>
      <c r="G1155" s="100" t="str">
        <f aca="true" t="shared" si="9" ref="G1155:G1160">CONCATENATE(D1155," - ",E1155,", ")</f>
        <v>Brass scrap - 0.768, </v>
      </c>
      <c r="H1155" s="297"/>
      <c r="I1155" s="97" t="str">
        <f ca="1">IF(J1154&gt;=3,(MID(I1154,2,1)&amp;MID(I1154,4,4)-K1154),CELL("address",Z1155))</f>
        <v>G1156</v>
      </c>
      <c r="J1155" s="97" t="str">
        <f ca="1">IF(J1154&gt;=4,(MID(I1155,1,1)&amp;MID(I1155,2,4)+1),CELL("address",AA1155))</f>
        <v>G1157</v>
      </c>
      <c r="K1155" s="97" t="str">
        <f ca="1">IF(J1154&gt;=5,(MID(J1155,1,1)&amp;MID(J1155,2,4)+1),CELL("address",AB1155))</f>
        <v>G1158</v>
      </c>
      <c r="L1155" s="97" t="str">
        <f ca="1">IF(J1154&gt;=6,(MID(K1155,1,1)&amp;MID(K1155,2,4)+1),CELL("address",AC1155))</f>
        <v>G1159</v>
      </c>
      <c r="M1155" s="97" t="str">
        <f ca="1">IF(J1154&gt;=7,(MID(L1155,1,1)&amp;MID(L1155,2,4)+1),CELL("address",AD1155))</f>
        <v>G1160</v>
      </c>
      <c r="N1155" s="97" t="str">
        <f ca="1">IF(J1154&gt;=8,(MID(M1155,1,1)&amp;MID(M1155,2,4)+1),CELL("address",AE1155))</f>
        <v>G1161</v>
      </c>
      <c r="O1155" s="97" t="str">
        <f ca="1">IF(J1154&gt;=9,(MID(N1155,1,1)&amp;MID(N1155,2,4)+1),CELL("address",AF1155))</f>
        <v>$AF$1155</v>
      </c>
      <c r="P1155" s="97" t="str">
        <f ca="1">IF(J1154&gt;=10,(MID(O1155,1,1)&amp;MID(O1155,2,4)+1),CELL("address",AG1155))</f>
        <v>$AG$1155</v>
      </c>
      <c r="Q1155" s="97" t="str">
        <f ca="1">IF(J1154&gt;=11,(MID(P1155,1,1)&amp;MID(P1155,2,4)+1),CELL("address",AH1155))</f>
        <v>$AH$1155</v>
      </c>
      <c r="R1155" s="97" t="str">
        <f ca="1">IF(J1154&gt;=12,(MID(Q1155,1,1)&amp;MID(Q1155,2,4)+1),CELL("address",AI1155))</f>
        <v>$AI$1155</v>
      </c>
    </row>
    <row r="1156" spans="1:8" ht="15" customHeight="1">
      <c r="A1156" s="299"/>
      <c r="B1156" s="299"/>
      <c r="C1156" s="300"/>
      <c r="D1156" s="44" t="s">
        <v>31</v>
      </c>
      <c r="E1156" s="72">
        <v>0.069</v>
      </c>
      <c r="F1156" s="97"/>
      <c r="G1156" s="100" t="str">
        <f t="shared" si="9"/>
        <v>Misc. Alumn. Scrap - 0.069, </v>
      </c>
      <c r="H1156" s="1"/>
    </row>
    <row r="1157" spans="1:15" ht="15" customHeight="1">
      <c r="A1157" s="299"/>
      <c r="B1157" s="299"/>
      <c r="C1157" s="300"/>
      <c r="D1157" s="39" t="s">
        <v>37</v>
      </c>
      <c r="E1157" s="186">
        <v>0.055</v>
      </c>
      <c r="F1157" s="97"/>
      <c r="G1157" s="100" t="str">
        <f t="shared" si="9"/>
        <v>Burnt Cu scrap - 0.055, </v>
      </c>
      <c r="H1157" s="97"/>
      <c r="I1157" s="97"/>
      <c r="J1157" s="97"/>
      <c r="K1157" s="97"/>
      <c r="L1157" s="97"/>
      <c r="M1157" s="97"/>
      <c r="N1157" s="97"/>
      <c r="O1157" s="97"/>
    </row>
    <row r="1158" spans="1:15" ht="15" customHeight="1">
      <c r="A1158" s="299"/>
      <c r="B1158" s="299"/>
      <c r="C1158" s="300"/>
      <c r="D1158" s="39" t="s">
        <v>58</v>
      </c>
      <c r="E1158" s="186">
        <v>0.87</v>
      </c>
      <c r="G1158" s="100" t="str">
        <f t="shared" si="9"/>
        <v>Nuts &amp; Bolts scrap - 0.87, </v>
      </c>
      <c r="H1158" s="97"/>
      <c r="I1158" s="97" t="e">
        <f ca="1">IF(G1157&gt;=6,(MID(H1158,1,1)&amp;MID(H1158,2,4)+1),CELL("address",Z1158))</f>
        <v>#VALUE!</v>
      </c>
      <c r="J1158" s="97" t="e">
        <f ca="1">IF(G1157&gt;=7,(MID(I1158,1,1)&amp;MID(I1158,2,4)+1),CELL("address",AA1158))</f>
        <v>#VALUE!</v>
      </c>
      <c r="K1158" s="97" t="e">
        <f ca="1">IF(G1157&gt;=8,(MID(J1158,1,1)&amp;MID(J1158,2,4)+1),CELL("address",AB1158))</f>
        <v>#VALUE!</v>
      </c>
      <c r="L1158" s="97" t="e">
        <f ca="1">IF(G1157&gt;=9,(MID(K1158,1,1)&amp;MID(K1158,2,4)+1),CELL("address",AC1158))</f>
        <v>#VALUE!</v>
      </c>
      <c r="M1158" s="97" t="e">
        <f ca="1">IF(G1157&gt;=10,(MID(L1158,1,1)&amp;MID(L1158,2,4)+1),CELL("address",AD1158))</f>
        <v>#VALUE!</v>
      </c>
      <c r="N1158" s="97" t="e">
        <f ca="1">IF(G1157&gt;=11,(MID(M1158,1,1)&amp;MID(M1158,2,4)+1),CELL("address",AE1158))</f>
        <v>#VALUE!</v>
      </c>
      <c r="O1158" s="97" t="e">
        <f ca="1">IF(G1157&gt;=12,(MID(N1158,1,1)&amp;MID(N1158,2,4)+1),CELL("address",AF1158))</f>
        <v>#VALUE!</v>
      </c>
    </row>
    <row r="1159" spans="1:8" ht="15" customHeight="1">
      <c r="A1159" s="299"/>
      <c r="B1159" s="299"/>
      <c r="C1159" s="300"/>
      <c r="D1159" s="39" t="s">
        <v>64</v>
      </c>
      <c r="E1159" s="186">
        <v>0.136</v>
      </c>
      <c r="G1159" s="100" t="str">
        <f t="shared" si="9"/>
        <v>Teen Patra scrap - 0.136, </v>
      </c>
      <c r="H1159" s="1"/>
    </row>
    <row r="1160" spans="1:8" ht="15" customHeight="1">
      <c r="A1160" s="299"/>
      <c r="B1160" s="299"/>
      <c r="C1160" s="300"/>
      <c r="D1160" s="39" t="s">
        <v>410</v>
      </c>
      <c r="E1160" s="186">
        <v>0.058</v>
      </c>
      <c r="F1160" s="97"/>
      <c r="G1160" s="100" t="str">
        <f t="shared" si="9"/>
        <v>M.S Iron scrap - 0.058, </v>
      </c>
      <c r="H1160" s="1"/>
    </row>
    <row r="1161" spans="1:15" ht="15" customHeight="1">
      <c r="A1161" s="34"/>
      <c r="B1161" s="1"/>
      <c r="C1161" s="1"/>
      <c r="D1161" s="1"/>
      <c r="E1161" s="1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</row>
    <row r="1162" spans="1:15" ht="15" customHeight="1">
      <c r="A1162" s="310"/>
      <c r="B1162" s="311"/>
      <c r="C1162" s="65"/>
      <c r="D1162" s="65"/>
      <c r="E1162" s="66">
        <f>SUM(E1164:E1164)</f>
        <v>0.011</v>
      </c>
      <c r="G1162" s="97"/>
      <c r="H1162" s="97"/>
      <c r="I1162" s="97" t="str">
        <f ca="1">IF(G1161&gt;=6,(MID(H1162,1,1)&amp;MID(H1162,2,4)+1),CELL("address",Z1162))</f>
        <v>$Z$1162</v>
      </c>
      <c r="J1162" s="97" t="str">
        <f ca="1">IF(G1161&gt;=7,(MID(I1162,1,1)&amp;MID(I1162,2,4)+1),CELL("address",AA1162))</f>
        <v>$AA$1162</v>
      </c>
      <c r="K1162" s="97" t="str">
        <f ca="1">IF(G1161&gt;=8,(MID(J1162,1,1)&amp;MID(J1162,2,4)+1),CELL("address",AB1162))</f>
        <v>$AB$1162</v>
      </c>
      <c r="L1162" s="97" t="str">
        <f ca="1">IF(G1161&gt;=9,(MID(K1162,1,1)&amp;MID(K1162,2,4)+1),CELL("address",AC1162))</f>
        <v>$AC$1162</v>
      </c>
      <c r="M1162" s="97" t="str">
        <f ca="1">IF(G1161&gt;=10,(MID(L1162,1,1)&amp;MID(L1162,2,4)+1),CELL("address",AD1162))</f>
        <v>$AD$1162</v>
      </c>
      <c r="N1162" s="97" t="str">
        <f ca="1">IF(G1161&gt;=11,(MID(M1162,1,1)&amp;MID(M1162,2,4)+1),CELL("address",AE1162))</f>
        <v>$AE$1162</v>
      </c>
      <c r="O1162" s="97" t="str">
        <f ca="1">IF(G1161&gt;=12,(MID(N1162,1,1)&amp;MID(N1162,2,4)+1),CELL("address",AF1162))</f>
        <v>$AF$1162</v>
      </c>
    </row>
    <row r="1163" spans="1:18" ht="15" customHeight="1">
      <c r="A1163" s="299" t="s">
        <v>5</v>
      </c>
      <c r="B1163" s="299"/>
      <c r="C1163" s="63" t="s">
        <v>17</v>
      </c>
      <c r="D1163" s="64" t="s">
        <v>18</v>
      </c>
      <c r="E1163" s="63" t="s">
        <v>7</v>
      </c>
      <c r="G1163" s="166" t="str">
        <f>CONCATENATE("Misc. Healthy parts/ Non Ferrous  Scrap, Lying at ",C1164,". Quantity in MT - ")</f>
        <v>Misc. Healthy parts/ Non Ferrous  Scrap, Lying at CS Malout. Quantity in MT - </v>
      </c>
      <c r="H1163" s="297" t="str">
        <f ca="1">CONCATENATE(G1163,G1164,(INDIRECT(I1164)),(INDIRECT(J1164)),(INDIRECT(K1164)),(INDIRECT(L1164)),(INDIRECT(M1164)),(INDIRECT(N1164)),(INDIRECT(O1164)),(INDIRECT(P1164)),(INDIRECT(Q1164)),(INDIRECT(R1164)),".")</f>
        <v>Misc. Healthy parts/ Non Ferrous  Scrap, Lying at CS Malout. Quantity in MT - Brass scrap - 0.011, .</v>
      </c>
      <c r="I1163" s="97" t="str">
        <f aca="true" ca="1" t="array" ref="I1163">CELL("address",INDEX(G1163:G1181,MATCH(TRUE,ISBLANK(G1163:G1181),0)))</f>
        <v>$G$1165</v>
      </c>
      <c r="J1163" s="97">
        <f aca="true" t="array" ref="J1163">MATCH(TRUE,ISBLANK(G1163:G1181),0)</f>
        <v>3</v>
      </c>
      <c r="K1163" s="97">
        <f>J1163-3</f>
        <v>0</v>
      </c>
      <c r="L1163" s="97"/>
      <c r="M1163" s="97"/>
      <c r="N1163" s="97"/>
      <c r="O1163" s="97"/>
      <c r="P1163" s="97"/>
      <c r="Q1163" s="97"/>
      <c r="R1163" s="97"/>
    </row>
    <row r="1164" spans="1:18" ht="15" customHeight="1">
      <c r="A1164" s="299" t="s">
        <v>133</v>
      </c>
      <c r="B1164" s="299"/>
      <c r="C1164" s="250" t="s">
        <v>95</v>
      </c>
      <c r="D1164" s="44" t="s">
        <v>23</v>
      </c>
      <c r="E1164" s="46">
        <v>0.011</v>
      </c>
      <c r="F1164" s="97"/>
      <c r="G1164" s="100" t="str">
        <f>CONCATENATE(D1164," - ",E1164,", ")</f>
        <v>Brass scrap - 0.011, </v>
      </c>
      <c r="H1164" s="297"/>
      <c r="I1164" s="97" t="str">
        <f ca="1">IF(J1163&gt;=3,(MID(I1163,2,1)&amp;MID(I1163,4,4)-K1163),CELL("address",Z1164))</f>
        <v>G1165</v>
      </c>
      <c r="J1164" s="97" t="str">
        <f ca="1">IF(J1163&gt;=4,(MID(I1164,1,1)&amp;MID(I1164,2,4)+1),CELL("address",AA1164))</f>
        <v>$AA$1164</v>
      </c>
      <c r="K1164" s="97" t="str">
        <f ca="1">IF(J1163&gt;=5,(MID(J1164,1,1)&amp;MID(J1164,2,4)+1),CELL("address",AB1164))</f>
        <v>$AB$1164</v>
      </c>
      <c r="L1164" s="97" t="str">
        <f ca="1">IF(J1163&gt;=6,(MID(K1164,1,1)&amp;MID(K1164,2,4)+1),CELL("address",AC1164))</f>
        <v>$AC$1164</v>
      </c>
      <c r="M1164" s="97" t="str">
        <f ca="1">IF(J1163&gt;=7,(MID(L1164,1,1)&amp;MID(L1164,2,4)+1),CELL("address",AD1164))</f>
        <v>$AD$1164</v>
      </c>
      <c r="N1164" s="97" t="str">
        <f ca="1">IF(J1163&gt;=8,(MID(M1164,1,1)&amp;MID(M1164,2,4)+1),CELL("address",AE1164))</f>
        <v>$AE$1164</v>
      </c>
      <c r="O1164" s="97" t="str">
        <f ca="1">IF(J1163&gt;=9,(MID(N1164,1,1)&amp;MID(N1164,2,4)+1),CELL("address",AF1164))</f>
        <v>$AF$1164</v>
      </c>
      <c r="P1164" s="97" t="str">
        <f ca="1">IF(J1163&gt;=10,(MID(O1164,1,1)&amp;MID(O1164,2,4)+1),CELL("address",AG1164))</f>
        <v>$AG$1164</v>
      </c>
      <c r="Q1164" s="97" t="str">
        <f ca="1">IF(J1163&gt;=11,(MID(P1164,1,1)&amp;MID(P1164,2,4)+1),CELL("address",AH1164))</f>
        <v>$AH$1164</v>
      </c>
      <c r="R1164" s="97" t="str">
        <f ca="1">IF(J1163&gt;=12,(MID(Q1164,1,1)&amp;MID(Q1164,2,4)+1),CELL("address",AI1164))</f>
        <v>$AI$1164</v>
      </c>
    </row>
    <row r="1165" spans="1:15" ht="15" customHeight="1">
      <c r="A1165" s="375"/>
      <c r="B1165" s="376"/>
      <c r="C1165" s="91"/>
      <c r="D1165" s="91"/>
      <c r="E1165" s="91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</row>
    <row r="1166" spans="1:15" ht="15" customHeight="1">
      <c r="A1166" s="310"/>
      <c r="B1166" s="311"/>
      <c r="C1166" s="65"/>
      <c r="D1166" s="65"/>
      <c r="E1166" s="66">
        <f>SUM(E1168:E1168)</f>
        <v>1</v>
      </c>
      <c r="G1166" s="97"/>
      <c r="H1166" s="97"/>
      <c r="I1166" s="97" t="str">
        <f ca="1">IF(G1165&gt;=6,(MID(H1166,1,1)&amp;MID(H1166,2,4)+1),CELL("address",Z1166))</f>
        <v>$Z$1166</v>
      </c>
      <c r="J1166" s="97" t="str">
        <f ca="1">IF(G1165&gt;=7,(MID(I1166,1,1)&amp;MID(I1166,2,4)+1),CELL("address",AA1166))</f>
        <v>$AA$1166</v>
      </c>
      <c r="K1166" s="97" t="str">
        <f ca="1">IF(G1165&gt;=8,(MID(J1166,1,1)&amp;MID(J1166,2,4)+1),CELL("address",AB1166))</f>
        <v>$AB$1166</v>
      </c>
      <c r="L1166" s="97" t="str">
        <f ca="1">IF(G1165&gt;=9,(MID(K1166,1,1)&amp;MID(K1166,2,4)+1),CELL("address",AC1166))</f>
        <v>$AC$1166</v>
      </c>
      <c r="M1166" s="97" t="str">
        <f ca="1">IF(G1165&gt;=10,(MID(L1166,1,1)&amp;MID(L1166,2,4)+1),CELL("address",AD1166))</f>
        <v>$AD$1166</v>
      </c>
      <c r="N1166" s="97" t="str">
        <f ca="1">IF(G1165&gt;=11,(MID(M1166,1,1)&amp;MID(M1166,2,4)+1),CELL("address",AE1166))</f>
        <v>$AE$1166</v>
      </c>
      <c r="O1166" s="97" t="str">
        <f ca="1">IF(G1165&gt;=12,(MID(N1166,1,1)&amp;MID(N1166,2,4)+1),CELL("address",AF1166))</f>
        <v>$AF$1166</v>
      </c>
    </row>
    <row r="1167" spans="1:18" ht="15" customHeight="1">
      <c r="A1167" s="299" t="s">
        <v>5</v>
      </c>
      <c r="B1167" s="299"/>
      <c r="C1167" s="63" t="s">
        <v>17</v>
      </c>
      <c r="D1167" s="64" t="s">
        <v>18</v>
      </c>
      <c r="E1167" s="63" t="s">
        <v>7</v>
      </c>
      <c r="G1167" s="166" t="str">
        <f>CONCATENATE("Misc. Healthy parts/ Non Ferrous  Scrap, Lying at ",C1168,". Quantity in MT - ")</f>
        <v>Misc. Healthy parts/ Non Ferrous  Scrap, Lying at TRY Bathinda. Quantity in MT - </v>
      </c>
      <c r="H1167" s="297" t="str">
        <f ca="1">CONCATENATE(G1167,G1168,(INDIRECT(I1168)),(INDIRECT(J1168)),(INDIRECT(K1168)),(INDIRECT(L1168)),(INDIRECT(M1168)),(INDIRECT(N1168)),(INDIRECT(O1168)),(INDIRECT(P1168)),(INDIRECT(Q1168)),(INDIRECT(R1168)),".")</f>
        <v>Misc. Healthy parts/ Non Ferrous  Scrap, Lying at TRY Bathinda. Quantity in MT - Brass scrap - 1, .</v>
      </c>
      <c r="I1167" s="97" t="str">
        <f aca="true" ca="1" t="array" ref="I1167">CELL("address",INDEX(G1167:G1187,MATCH(TRUE,ISBLANK(G1167:G1187),0)))</f>
        <v>$G$1169</v>
      </c>
      <c r="J1167" s="97">
        <f aca="true" t="array" ref="J1167">MATCH(TRUE,ISBLANK(G1167:G1187),0)</f>
        <v>3</v>
      </c>
      <c r="K1167" s="97">
        <f>J1167-3</f>
        <v>0</v>
      </c>
      <c r="L1167" s="97"/>
      <c r="M1167" s="97"/>
      <c r="N1167" s="97"/>
      <c r="O1167" s="97"/>
      <c r="P1167" s="97"/>
      <c r="Q1167" s="97"/>
      <c r="R1167" s="97"/>
    </row>
    <row r="1168" spans="1:18" ht="15" customHeight="1">
      <c r="A1168" s="299" t="s">
        <v>134</v>
      </c>
      <c r="B1168" s="299"/>
      <c r="C1168" s="250" t="s">
        <v>36</v>
      </c>
      <c r="D1168" s="39" t="s">
        <v>23</v>
      </c>
      <c r="E1168" s="45">
        <v>1</v>
      </c>
      <c r="F1168" s="97"/>
      <c r="G1168" s="100" t="str">
        <f>CONCATENATE(D1168," - ",E1168,", ")</f>
        <v>Brass scrap - 1, </v>
      </c>
      <c r="H1168" s="297"/>
      <c r="I1168" s="97" t="str">
        <f ca="1">IF(J1167&gt;=3,(MID(I1167,2,1)&amp;MID(I1167,4,4)-K1167),CELL("address",Z1168))</f>
        <v>G1169</v>
      </c>
      <c r="J1168" s="97" t="str">
        <f ca="1">IF(J1167&gt;=4,(MID(I1168,1,1)&amp;MID(I1168,2,4)+1),CELL("address",AA1168))</f>
        <v>$AA$1168</v>
      </c>
      <c r="K1168" s="97" t="str">
        <f ca="1">IF(J1167&gt;=5,(MID(J1168,1,1)&amp;MID(J1168,2,4)+1),CELL("address",AB1168))</f>
        <v>$AB$1168</v>
      </c>
      <c r="L1168" s="97" t="str">
        <f ca="1">IF(J1167&gt;=6,(MID(K1168,1,1)&amp;MID(K1168,2,4)+1),CELL("address",AC1168))</f>
        <v>$AC$1168</v>
      </c>
      <c r="M1168" s="97" t="str">
        <f ca="1">IF(J1167&gt;=7,(MID(L1168,1,1)&amp;MID(L1168,2,4)+1),CELL("address",AD1168))</f>
        <v>$AD$1168</v>
      </c>
      <c r="N1168" s="97" t="str">
        <f ca="1">IF(J1167&gt;=8,(MID(M1168,1,1)&amp;MID(M1168,2,4)+1),CELL("address",AE1168))</f>
        <v>$AE$1168</v>
      </c>
      <c r="O1168" s="97" t="str">
        <f ca="1">IF(J1167&gt;=9,(MID(N1168,1,1)&amp;MID(N1168,2,4)+1),CELL("address",AF1168))</f>
        <v>$AF$1168</v>
      </c>
      <c r="P1168" s="97" t="str">
        <f ca="1">IF(J1167&gt;=10,(MID(O1168,1,1)&amp;MID(O1168,2,4)+1),CELL("address",AG1168))</f>
        <v>$AG$1168</v>
      </c>
      <c r="Q1168" s="97" t="str">
        <f ca="1">IF(J1167&gt;=11,(MID(P1168,1,1)&amp;MID(P1168,2,4)+1),CELL("address",AH1168))</f>
        <v>$AH$1168</v>
      </c>
      <c r="R1168" s="97" t="str">
        <f ca="1">IF(J1167&gt;=12,(MID(Q1168,1,1)&amp;MID(Q1168,2,4)+1),CELL("address",AI1168))</f>
        <v>$AI$1168</v>
      </c>
    </row>
    <row r="1169" spans="1:15" ht="15" customHeight="1">
      <c r="A1169" s="375"/>
      <c r="B1169" s="376"/>
      <c r="C1169" s="91"/>
      <c r="D1169" s="91"/>
      <c r="E1169" s="91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</row>
    <row r="1170" spans="1:15" ht="15" customHeight="1">
      <c r="A1170" s="310"/>
      <c r="B1170" s="311"/>
      <c r="C1170" s="65"/>
      <c r="D1170" s="65"/>
      <c r="E1170" s="66">
        <f>SUM(E1172:E1172)</f>
        <v>1</v>
      </c>
      <c r="G1170" s="97"/>
      <c r="H1170" s="97"/>
      <c r="I1170" s="97" t="str">
        <f ca="1">IF(G1169&gt;=6,(MID(H1170,1,1)&amp;MID(H1170,2,4)+1),CELL("address",Z1170))</f>
        <v>$Z$1170</v>
      </c>
      <c r="J1170" s="97" t="str">
        <f ca="1">IF(G1169&gt;=7,(MID(I1170,1,1)&amp;MID(I1170,2,4)+1),CELL("address",AA1170))</f>
        <v>$AA$1170</v>
      </c>
      <c r="K1170" s="97" t="str">
        <f ca="1">IF(G1169&gt;=8,(MID(J1170,1,1)&amp;MID(J1170,2,4)+1),CELL("address",AB1170))</f>
        <v>$AB$1170</v>
      </c>
      <c r="L1170" s="97" t="str">
        <f ca="1">IF(G1169&gt;=9,(MID(K1170,1,1)&amp;MID(K1170,2,4)+1),CELL("address",AC1170))</f>
        <v>$AC$1170</v>
      </c>
      <c r="M1170" s="97" t="str">
        <f ca="1">IF(G1169&gt;=10,(MID(L1170,1,1)&amp;MID(L1170,2,4)+1),CELL("address",AD1170))</f>
        <v>$AD$1170</v>
      </c>
      <c r="N1170" s="97" t="str">
        <f ca="1">IF(G1169&gt;=11,(MID(M1170,1,1)&amp;MID(M1170,2,4)+1),CELL("address",AE1170))</f>
        <v>$AE$1170</v>
      </c>
      <c r="O1170" s="97" t="str">
        <f ca="1">IF(G1169&gt;=12,(MID(N1170,1,1)&amp;MID(N1170,2,4)+1),CELL("address",AF1170))</f>
        <v>$AF$1170</v>
      </c>
    </row>
    <row r="1171" spans="1:18" ht="15" customHeight="1">
      <c r="A1171" s="299" t="s">
        <v>5</v>
      </c>
      <c r="B1171" s="299"/>
      <c r="C1171" s="63" t="s">
        <v>17</v>
      </c>
      <c r="D1171" s="64" t="s">
        <v>18</v>
      </c>
      <c r="E1171" s="63" t="s">
        <v>7</v>
      </c>
      <c r="G1171" s="166" t="str">
        <f>CONCATENATE("Misc. Healthy parts/ Non Ferrous  Scrap, Lying at ",C1172,". Quantity in MT - ")</f>
        <v>Misc. Healthy parts/ Non Ferrous  Scrap, Lying at TRY Bathinda. Quantity in MT - </v>
      </c>
      <c r="H1171" s="297" t="str">
        <f ca="1">CONCATENATE(G1171,G1172,(INDIRECT(I1172)),(INDIRECT(J1172)),(INDIRECT(K1172)),(INDIRECT(L1172)),(INDIRECT(M1172)),(INDIRECT(N1172)),(INDIRECT(O1172)),(INDIRECT(P1172)),(INDIRECT(Q1172)),(INDIRECT(R1172)),".")</f>
        <v>Misc. Healthy parts/ Non Ferrous  Scrap, Lying at TRY Bathinda. Quantity in MT - Brass scrap - 1, .</v>
      </c>
      <c r="I1171" s="97" t="str">
        <f aca="true" ca="1" t="array" ref="I1171">CELL("address",INDEX(G1171:G1191,MATCH(TRUE,ISBLANK(G1171:G1191),0)))</f>
        <v>$G$1173</v>
      </c>
      <c r="J1171" s="97">
        <f aca="true" t="array" ref="J1171">MATCH(TRUE,ISBLANK(G1171:G1191),0)</f>
        <v>3</v>
      </c>
      <c r="K1171" s="97">
        <f>J1171-3</f>
        <v>0</v>
      </c>
      <c r="L1171" s="97"/>
      <c r="M1171" s="97"/>
      <c r="N1171" s="97"/>
      <c r="O1171" s="97"/>
      <c r="P1171" s="97"/>
      <c r="Q1171" s="97"/>
      <c r="R1171" s="97"/>
    </row>
    <row r="1172" spans="1:18" ht="15" customHeight="1">
      <c r="A1172" s="299" t="s">
        <v>141</v>
      </c>
      <c r="B1172" s="299"/>
      <c r="C1172" s="250" t="s">
        <v>36</v>
      </c>
      <c r="D1172" s="39" t="s">
        <v>23</v>
      </c>
      <c r="E1172" s="45">
        <v>1</v>
      </c>
      <c r="F1172" s="97"/>
      <c r="G1172" s="100" t="str">
        <f>CONCATENATE(D1172," - ",E1172,", ")</f>
        <v>Brass scrap - 1, </v>
      </c>
      <c r="H1172" s="297"/>
      <c r="I1172" s="97" t="str">
        <f ca="1">IF(J1171&gt;=3,(MID(I1171,2,1)&amp;MID(I1171,4,4)-K1171),CELL("address",Z1172))</f>
        <v>G1173</v>
      </c>
      <c r="J1172" s="97" t="str">
        <f ca="1">IF(J1171&gt;=4,(MID(I1172,1,1)&amp;MID(I1172,2,4)+1),CELL("address",AA1172))</f>
        <v>$AA$1172</v>
      </c>
      <c r="K1172" s="97" t="str">
        <f ca="1">IF(J1171&gt;=5,(MID(J1172,1,1)&amp;MID(J1172,2,4)+1),CELL("address",AB1172))</f>
        <v>$AB$1172</v>
      </c>
      <c r="L1172" s="97" t="str">
        <f ca="1">IF(J1171&gt;=6,(MID(K1172,1,1)&amp;MID(K1172,2,4)+1),CELL("address",AC1172))</f>
        <v>$AC$1172</v>
      </c>
      <c r="M1172" s="97" t="str">
        <f ca="1">IF(J1171&gt;=7,(MID(L1172,1,1)&amp;MID(L1172,2,4)+1),CELL("address",AD1172))</f>
        <v>$AD$1172</v>
      </c>
      <c r="N1172" s="97" t="str">
        <f ca="1">IF(J1171&gt;=8,(MID(M1172,1,1)&amp;MID(M1172,2,4)+1),CELL("address",AE1172))</f>
        <v>$AE$1172</v>
      </c>
      <c r="O1172" s="97" t="str">
        <f ca="1">IF(J1171&gt;=9,(MID(N1172,1,1)&amp;MID(N1172,2,4)+1),CELL("address",AF1172))</f>
        <v>$AF$1172</v>
      </c>
      <c r="P1172" s="97" t="str">
        <f ca="1">IF(J1171&gt;=10,(MID(O1172,1,1)&amp;MID(O1172,2,4)+1),CELL("address",AG1172))</f>
        <v>$AG$1172</v>
      </c>
      <c r="Q1172" s="97" t="str">
        <f ca="1">IF(J1171&gt;=11,(MID(P1172,1,1)&amp;MID(P1172,2,4)+1),CELL("address",AH1172))</f>
        <v>$AH$1172</v>
      </c>
      <c r="R1172" s="97" t="str">
        <f ca="1">IF(J1171&gt;=12,(MID(Q1172,1,1)&amp;MID(Q1172,2,4)+1),CELL("address",AI1172))</f>
        <v>$AI$1172</v>
      </c>
    </row>
    <row r="1173" spans="1:15" ht="15" customHeight="1">
      <c r="A1173" s="375"/>
      <c r="B1173" s="376"/>
      <c r="C1173" s="91"/>
      <c r="D1173" s="91"/>
      <c r="E1173" s="91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</row>
    <row r="1174" spans="1:15" ht="15" customHeight="1">
      <c r="A1174" s="310"/>
      <c r="B1174" s="311"/>
      <c r="C1174" s="65"/>
      <c r="D1174" s="65"/>
      <c r="E1174" s="66">
        <f>SUM(E1176:E1176)</f>
        <v>1</v>
      </c>
      <c r="G1174" s="97"/>
      <c r="H1174" s="97"/>
      <c r="I1174" s="97" t="str">
        <f ca="1">IF(G1173&gt;=6,(MID(H1174,1,1)&amp;MID(H1174,2,4)+1),CELL("address",Z1174))</f>
        <v>$Z$1174</v>
      </c>
      <c r="J1174" s="97" t="str">
        <f ca="1">IF(G1173&gt;=7,(MID(I1174,1,1)&amp;MID(I1174,2,4)+1),CELL("address",AA1174))</f>
        <v>$AA$1174</v>
      </c>
      <c r="K1174" s="97" t="str">
        <f ca="1">IF(G1173&gt;=8,(MID(J1174,1,1)&amp;MID(J1174,2,4)+1),CELL("address",AB1174))</f>
        <v>$AB$1174</v>
      </c>
      <c r="L1174" s="97" t="str">
        <f ca="1">IF(G1173&gt;=9,(MID(K1174,1,1)&amp;MID(K1174,2,4)+1),CELL("address",AC1174))</f>
        <v>$AC$1174</v>
      </c>
      <c r="M1174" s="97" t="str">
        <f ca="1">IF(G1173&gt;=10,(MID(L1174,1,1)&amp;MID(L1174,2,4)+1),CELL("address",AD1174))</f>
        <v>$AD$1174</v>
      </c>
      <c r="N1174" s="97" t="str">
        <f ca="1">IF(G1173&gt;=11,(MID(M1174,1,1)&amp;MID(M1174,2,4)+1),CELL("address",AE1174))</f>
        <v>$AE$1174</v>
      </c>
      <c r="O1174" s="97" t="str">
        <f ca="1">IF(G1173&gt;=12,(MID(N1174,1,1)&amp;MID(N1174,2,4)+1),CELL("address",AF1174))</f>
        <v>$AF$1174</v>
      </c>
    </row>
    <row r="1175" spans="1:18" ht="15" customHeight="1">
      <c r="A1175" s="299" t="s">
        <v>5</v>
      </c>
      <c r="B1175" s="299"/>
      <c r="C1175" s="63" t="s">
        <v>17</v>
      </c>
      <c r="D1175" s="64" t="s">
        <v>18</v>
      </c>
      <c r="E1175" s="63" t="s">
        <v>7</v>
      </c>
      <c r="G1175" s="166" t="str">
        <f>CONCATENATE("Misc. Healthy parts/ Non Ferrous  Scrap, Lying at ",C1176,". Quantity in MT - ")</f>
        <v>Misc. Healthy parts/ Non Ferrous  Scrap, Lying at TRY Bathinda. Quantity in MT - </v>
      </c>
      <c r="H1175" s="297" t="str">
        <f ca="1">CONCATENATE(G1175,G1176,(INDIRECT(I1176)),(INDIRECT(J1176)),(INDIRECT(K1176)),(INDIRECT(L1176)),(INDIRECT(M1176)),(INDIRECT(N1176)),(INDIRECT(O1176)),(INDIRECT(P1176)),(INDIRECT(Q1176)),(INDIRECT(R1176)),".")</f>
        <v>Misc. Healthy parts/ Non Ferrous  Scrap, Lying at TRY Bathinda. Quantity in MT - Brass scrap - 1, .</v>
      </c>
      <c r="I1175" s="97" t="str">
        <f aca="true" ca="1" t="array" ref="I1175">CELL("address",INDEX(G1175:G1195,MATCH(TRUE,ISBLANK(G1175:G1195),0)))</f>
        <v>$G$1177</v>
      </c>
      <c r="J1175" s="97">
        <f aca="true" t="array" ref="J1175">MATCH(TRUE,ISBLANK(G1175:G1195),0)</f>
        <v>3</v>
      </c>
      <c r="K1175" s="97">
        <f>J1175-3</f>
        <v>0</v>
      </c>
      <c r="L1175" s="97"/>
      <c r="M1175" s="97"/>
      <c r="N1175" s="97"/>
      <c r="O1175" s="97"/>
      <c r="P1175" s="97"/>
      <c r="Q1175" s="97"/>
      <c r="R1175" s="97"/>
    </row>
    <row r="1176" spans="1:18" ht="15" customHeight="1">
      <c r="A1176" s="299" t="s">
        <v>195</v>
      </c>
      <c r="B1176" s="299"/>
      <c r="C1176" s="250" t="s">
        <v>36</v>
      </c>
      <c r="D1176" s="39" t="s">
        <v>23</v>
      </c>
      <c r="E1176" s="45">
        <v>1</v>
      </c>
      <c r="F1176" s="97"/>
      <c r="G1176" s="100" t="str">
        <f>CONCATENATE(D1176," - ",E1176,", ")</f>
        <v>Brass scrap - 1, </v>
      </c>
      <c r="H1176" s="297"/>
      <c r="I1176" s="97" t="str">
        <f ca="1">IF(J1175&gt;=3,(MID(I1175,2,1)&amp;MID(I1175,4,4)-K1175),CELL("address",Z1176))</f>
        <v>G1177</v>
      </c>
      <c r="J1176" s="97" t="str">
        <f ca="1">IF(J1175&gt;=4,(MID(I1176,1,1)&amp;MID(I1176,2,4)+1),CELL("address",AA1176))</f>
        <v>$AA$1176</v>
      </c>
      <c r="K1176" s="97" t="str">
        <f ca="1">IF(J1175&gt;=5,(MID(J1176,1,1)&amp;MID(J1176,2,4)+1),CELL("address",AB1176))</f>
        <v>$AB$1176</v>
      </c>
      <c r="L1176" s="97" t="str">
        <f ca="1">IF(J1175&gt;=6,(MID(K1176,1,1)&amp;MID(K1176,2,4)+1),CELL("address",AC1176))</f>
        <v>$AC$1176</v>
      </c>
      <c r="M1176" s="97" t="str">
        <f ca="1">IF(J1175&gt;=7,(MID(L1176,1,1)&amp;MID(L1176,2,4)+1),CELL("address",AD1176))</f>
        <v>$AD$1176</v>
      </c>
      <c r="N1176" s="97" t="str">
        <f ca="1">IF(J1175&gt;=8,(MID(M1176,1,1)&amp;MID(M1176,2,4)+1),CELL("address",AE1176))</f>
        <v>$AE$1176</v>
      </c>
      <c r="O1176" s="97" t="str">
        <f ca="1">IF(J1175&gt;=9,(MID(N1176,1,1)&amp;MID(N1176,2,4)+1),CELL("address",AF1176))</f>
        <v>$AF$1176</v>
      </c>
      <c r="P1176" s="97" t="str">
        <f ca="1">IF(J1175&gt;=10,(MID(O1176,1,1)&amp;MID(O1176,2,4)+1),CELL("address",AG1176))</f>
        <v>$AG$1176</v>
      </c>
      <c r="Q1176" s="97" t="str">
        <f ca="1">IF(J1175&gt;=11,(MID(P1176,1,1)&amp;MID(P1176,2,4)+1),CELL("address",AH1176))</f>
        <v>$AH$1176</v>
      </c>
      <c r="R1176" s="97" t="str">
        <f ca="1">IF(J1175&gt;=12,(MID(Q1176,1,1)&amp;MID(Q1176,2,4)+1),CELL("address",AI1176))</f>
        <v>$AI$1176</v>
      </c>
    </row>
    <row r="1177" spans="1:15" ht="15" customHeight="1">
      <c r="A1177" s="375"/>
      <c r="B1177" s="376"/>
      <c r="C1177" s="91"/>
      <c r="D1177" s="91"/>
      <c r="E1177" s="91"/>
      <c r="G1177" s="97"/>
      <c r="H1177" s="97"/>
      <c r="I1177" s="97"/>
      <c r="J1177" s="97"/>
      <c r="K1177" s="97"/>
      <c r="L1177" s="97"/>
      <c r="M1177" s="97"/>
      <c r="N1177" s="97"/>
      <c r="O1177" s="97"/>
    </row>
    <row r="1178" spans="1:8" ht="15" customHeight="1">
      <c r="A1178" s="310"/>
      <c r="B1178" s="311"/>
      <c r="C1178" s="65"/>
      <c r="D1178" s="65"/>
      <c r="E1178" s="66">
        <f>SUM(E1180:E1184)</f>
        <v>3.617</v>
      </c>
      <c r="F1178" s="97"/>
      <c r="H1178" s="1"/>
    </row>
    <row r="1179" spans="1:18" ht="15" customHeight="1">
      <c r="A1179" s="299" t="s">
        <v>5</v>
      </c>
      <c r="B1179" s="299"/>
      <c r="C1179" s="63" t="s">
        <v>17</v>
      </c>
      <c r="D1179" s="64" t="s">
        <v>18</v>
      </c>
      <c r="E1179" s="63" t="s">
        <v>7</v>
      </c>
      <c r="F1179" s="97"/>
      <c r="G1179" s="166" t="str">
        <f>CONCATENATE("Misc. Healthy parts/ Non Ferrous  Scrap, Lying at ",C1180,". Quantity in MT - ")</f>
        <v>Misc. Healthy parts/ Non Ferrous  Scrap, Lying at TRY Kotkapura. Quantity in MT - </v>
      </c>
      <c r="H1179" s="297" t="str">
        <f ca="1">CONCATENATE(G1179,G1180,(INDIRECT(I1180)),(INDIRECT(J1180)),(INDIRECT(K1180)),(INDIRECT(L1180)),(INDIRECT(M1180)),(INDIRECT(N1180)),(INDIRECT(O1180)),(INDIRECT(P1180)),(INDIRECT(Q1180)),(INDIRECT(R1180)),".")</f>
        <v>Misc. Healthy parts/ Non Ferrous  Scrap, Lying at TRY Kotkapura. Quantity in MT - Brass scrap - 2.059, Misc. Alumn. Scrap - 0.324, Iron scrap - 0.128, Burnt Cu scrap - 0.052, Nuts &amp; Bolts scrap - 1.054, .</v>
      </c>
      <c r="I1179" s="97" t="str">
        <f aca="true" ca="1" t="array" ref="I1179">CELL("address",INDEX(G1179:G1203,MATCH(TRUE,ISBLANK(G1179:G1203),0)))</f>
        <v>$G$1185</v>
      </c>
      <c r="J1179" s="97">
        <f aca="true" t="array" ref="J1179">MATCH(TRUE,ISBLANK(G1179:G1203),0)</f>
        <v>7</v>
      </c>
      <c r="K1179" s="97">
        <f>J1179-3</f>
        <v>4</v>
      </c>
      <c r="L1179" s="97"/>
      <c r="M1179" s="97"/>
      <c r="N1179" s="97"/>
      <c r="O1179" s="97"/>
      <c r="P1179" s="97"/>
      <c r="Q1179" s="97"/>
      <c r="R1179" s="97"/>
    </row>
    <row r="1180" spans="1:18" ht="15" customHeight="1">
      <c r="A1180" s="299" t="s">
        <v>202</v>
      </c>
      <c r="B1180" s="299"/>
      <c r="C1180" s="300" t="s">
        <v>245</v>
      </c>
      <c r="D1180" s="44" t="s">
        <v>23</v>
      </c>
      <c r="E1180" s="46">
        <v>2.059</v>
      </c>
      <c r="G1180" s="100" t="str">
        <f>CONCATENATE(D1180," - ",E1180,", ")</f>
        <v>Brass scrap - 2.059, </v>
      </c>
      <c r="H1180" s="297"/>
      <c r="I1180" s="97" t="str">
        <f ca="1">IF(J1179&gt;=3,(MID(I1179,2,1)&amp;MID(I1179,4,4)-K1179),CELL("address",Z1180))</f>
        <v>G1181</v>
      </c>
      <c r="J1180" s="97" t="str">
        <f ca="1">IF(J1179&gt;=4,(MID(I1180,1,1)&amp;MID(I1180,2,4)+1),CELL("address",AA1180))</f>
        <v>G1182</v>
      </c>
      <c r="K1180" s="97" t="str">
        <f ca="1">IF(J1179&gt;=5,(MID(J1180,1,1)&amp;MID(J1180,2,4)+1),CELL("address",AB1180))</f>
        <v>G1183</v>
      </c>
      <c r="L1180" s="97" t="str">
        <f ca="1">IF(J1179&gt;=6,(MID(K1180,1,1)&amp;MID(K1180,2,4)+1),CELL("address",AC1180))</f>
        <v>G1184</v>
      </c>
      <c r="M1180" s="97" t="str">
        <f ca="1">IF(J1179&gt;=7,(MID(L1180,1,1)&amp;MID(L1180,2,4)+1),CELL("address",AD1180))</f>
        <v>G1185</v>
      </c>
      <c r="N1180" s="97" t="str">
        <f ca="1">IF(J1179&gt;=8,(MID(M1180,1,1)&amp;MID(M1180,2,4)+1),CELL("address",AE1180))</f>
        <v>$AE$1180</v>
      </c>
      <c r="O1180" s="97" t="str">
        <f ca="1">IF(J1179&gt;=9,(MID(N1180,1,1)&amp;MID(N1180,2,4)+1),CELL("address",AF1180))</f>
        <v>$AF$1180</v>
      </c>
      <c r="P1180" s="97" t="str">
        <f ca="1">IF(J1179&gt;=10,(MID(O1180,1,1)&amp;MID(O1180,2,4)+1),CELL("address",AG1180))</f>
        <v>$AG$1180</v>
      </c>
      <c r="Q1180" s="97" t="str">
        <f ca="1">IF(J1179&gt;=11,(MID(P1180,1,1)&amp;MID(P1180,2,4)+1),CELL("address",AH1180))</f>
        <v>$AH$1180</v>
      </c>
      <c r="R1180" s="97" t="str">
        <f ca="1">IF(J1179&gt;=12,(MID(Q1180,1,1)&amp;MID(Q1180,2,4)+1),CELL("address",AI1180))</f>
        <v>$AI$1180</v>
      </c>
    </row>
    <row r="1181" spans="1:8" ht="15" customHeight="1">
      <c r="A1181" s="299"/>
      <c r="B1181" s="299"/>
      <c r="C1181" s="300"/>
      <c r="D1181" s="44" t="s">
        <v>31</v>
      </c>
      <c r="E1181" s="63">
        <v>0.324</v>
      </c>
      <c r="G1181" s="100" t="str">
        <f>CONCATENATE(D1181," - ",E1181,", ")</f>
        <v>Misc. Alumn. Scrap - 0.324, </v>
      </c>
      <c r="H1181" s="1"/>
    </row>
    <row r="1182" spans="1:8" ht="15" customHeight="1">
      <c r="A1182" s="299"/>
      <c r="B1182" s="299"/>
      <c r="C1182" s="300"/>
      <c r="D1182" s="39" t="s">
        <v>27</v>
      </c>
      <c r="E1182" s="63">
        <v>0.128</v>
      </c>
      <c r="G1182" s="100" t="str">
        <f>CONCATENATE(D1182," - ",E1182,", ")</f>
        <v>Iron scrap - 0.128, </v>
      </c>
      <c r="H1182" s="1"/>
    </row>
    <row r="1183" spans="1:8" ht="15" customHeight="1">
      <c r="A1183" s="299"/>
      <c r="B1183" s="299"/>
      <c r="C1183" s="300"/>
      <c r="D1183" s="39" t="s">
        <v>37</v>
      </c>
      <c r="E1183" s="63">
        <v>0.052</v>
      </c>
      <c r="G1183" s="100" t="str">
        <f>CONCATENATE(D1183," - ",E1183,", ")</f>
        <v>Burnt Cu scrap - 0.052, </v>
      </c>
      <c r="H1183" s="1"/>
    </row>
    <row r="1184" spans="1:8" ht="15" customHeight="1">
      <c r="A1184" s="299"/>
      <c r="B1184" s="299"/>
      <c r="C1184" s="300"/>
      <c r="D1184" s="39" t="s">
        <v>58</v>
      </c>
      <c r="E1184" s="63">
        <v>1.054</v>
      </c>
      <c r="G1184" s="100" t="str">
        <f>CONCATENATE(D1184," - ",E1184,", ")</f>
        <v>Nuts &amp; Bolts scrap - 1.054, </v>
      </c>
      <c r="H1184" s="1"/>
    </row>
    <row r="1185" spans="1:8" ht="15" customHeight="1">
      <c r="A1185" s="301"/>
      <c r="B1185" s="306"/>
      <c r="C1185" s="250"/>
      <c r="D1185" s="212"/>
      <c r="E1185" s="102"/>
      <c r="H1185" s="1"/>
    </row>
    <row r="1186" spans="1:8" ht="15" customHeight="1">
      <c r="A1186" s="310"/>
      <c r="B1186" s="311"/>
      <c r="C1186" s="65"/>
      <c r="D1186" s="65"/>
      <c r="E1186" s="66">
        <f>SUM(E1188:E1191)</f>
        <v>1.557</v>
      </c>
      <c r="H1186" s="1"/>
    </row>
    <row r="1187" spans="1:18" ht="15" customHeight="1">
      <c r="A1187" s="301" t="s">
        <v>5</v>
      </c>
      <c r="B1187" s="306"/>
      <c r="C1187" s="63" t="s">
        <v>17</v>
      </c>
      <c r="D1187" s="64" t="s">
        <v>18</v>
      </c>
      <c r="E1187" s="63" t="s">
        <v>7</v>
      </c>
      <c r="F1187" s="97"/>
      <c r="G1187" s="166" t="str">
        <f>CONCATENATE("Misc. Healthy parts/ Non Ferrous  Scrap, Lying at ",C1188,". Quantity in MT - ")</f>
        <v>Misc. Healthy parts/ Non Ferrous  Scrap, Lying at TRY Mansa. Quantity in MT - </v>
      </c>
      <c r="H1187" s="297" t="str">
        <f ca="1">CONCATENATE(G1187,G1188,(INDIRECT(I1188)),(INDIRECT(J1188)),(INDIRECT(K1188)),(INDIRECT(L1188)),(INDIRECT(M1188)),(INDIRECT(N1188)),(INDIRECT(O1188)),(INDIRECT(P1188)),(INDIRECT(Q1188)),(INDIRECT(R1188)),".")</f>
        <v>Misc. Healthy parts/ Non Ferrous  Scrap, Lying at TRY Mansa. Quantity in MT - Brass scrap - 1.302, Misc. Aluminium scrap - 0.147, Burnt Cu scrap - 0.027,  Iron scrap - 0.081, .</v>
      </c>
      <c r="I1187" s="97" t="str">
        <f aca="true" ca="1" t="array" ref="I1187">CELL("address",INDEX(G1187:G1209,MATCH(TRUE,ISBLANK(G1187:G1209),0)))</f>
        <v>$G$1192</v>
      </c>
      <c r="J1187" s="97">
        <f aca="true" t="array" ref="J1187">MATCH(TRUE,ISBLANK(G1187:G1209),0)</f>
        <v>6</v>
      </c>
      <c r="K1187" s="97">
        <f>J1187-3</f>
        <v>3</v>
      </c>
      <c r="L1187" s="97"/>
      <c r="M1187" s="97"/>
      <c r="N1187" s="97"/>
      <c r="O1187" s="97"/>
      <c r="P1187" s="97"/>
      <c r="Q1187" s="97"/>
      <c r="R1187" s="97"/>
    </row>
    <row r="1188" spans="1:18" ht="15" customHeight="1">
      <c r="A1188" s="299" t="s">
        <v>209</v>
      </c>
      <c r="B1188" s="299"/>
      <c r="C1188" s="300" t="s">
        <v>166</v>
      </c>
      <c r="D1188" s="39" t="s">
        <v>23</v>
      </c>
      <c r="E1188" s="45">
        <v>1.302</v>
      </c>
      <c r="F1188" s="97"/>
      <c r="G1188" s="100" t="str">
        <f>CONCATENATE(D1188," - ",E1188,", ")</f>
        <v>Brass scrap - 1.302, </v>
      </c>
      <c r="H1188" s="297"/>
      <c r="I1188" s="97" t="str">
        <f ca="1">IF(J1187&gt;=3,(MID(I1187,2,1)&amp;MID(I1187,4,4)-K1187),CELL("address",Z1188))</f>
        <v>G1189</v>
      </c>
      <c r="J1188" s="97" t="str">
        <f ca="1">IF(J1187&gt;=4,(MID(I1188,1,1)&amp;MID(I1188,2,4)+1),CELL("address",AA1188))</f>
        <v>G1190</v>
      </c>
      <c r="K1188" s="97" t="str">
        <f ca="1">IF(J1187&gt;=5,(MID(J1188,1,1)&amp;MID(J1188,2,4)+1),CELL("address",AB1188))</f>
        <v>G1191</v>
      </c>
      <c r="L1188" s="97" t="str">
        <f ca="1">IF(J1187&gt;=6,(MID(K1188,1,1)&amp;MID(K1188,2,4)+1),CELL("address",AC1188))</f>
        <v>G1192</v>
      </c>
      <c r="M1188" s="97" t="str">
        <f ca="1">IF(J1187&gt;=7,(MID(L1188,1,1)&amp;MID(L1188,2,4)+1),CELL("address",AD1188))</f>
        <v>$AD$1188</v>
      </c>
      <c r="N1188" s="97" t="str">
        <f ca="1">IF(J1187&gt;=8,(MID(M1188,1,1)&amp;MID(M1188,2,4)+1),CELL("address",AE1188))</f>
        <v>$AE$1188</v>
      </c>
      <c r="O1188" s="97" t="str">
        <f ca="1">IF(J1187&gt;=9,(MID(N1188,1,1)&amp;MID(N1188,2,4)+1),CELL("address",AF1188))</f>
        <v>$AF$1188</v>
      </c>
      <c r="P1188" s="97" t="str">
        <f ca="1">IF(J1187&gt;=10,(MID(O1188,1,1)&amp;MID(O1188,2,4)+1),CELL("address",AG1188))</f>
        <v>$AG$1188</v>
      </c>
      <c r="Q1188" s="97" t="str">
        <f ca="1">IF(J1187&gt;=11,(MID(P1188,1,1)&amp;MID(P1188,2,4)+1),CELL("address",AH1188))</f>
        <v>$AH$1188</v>
      </c>
      <c r="R1188" s="97" t="str">
        <f ca="1">IF(J1187&gt;=12,(MID(Q1188,1,1)&amp;MID(Q1188,2,4)+1),CELL("address",AI1188))</f>
        <v>$AI$1188</v>
      </c>
    </row>
    <row r="1189" spans="1:15" ht="15" customHeight="1">
      <c r="A1189" s="299"/>
      <c r="B1189" s="299"/>
      <c r="C1189" s="300"/>
      <c r="D1189" s="39" t="s">
        <v>24</v>
      </c>
      <c r="E1189" s="45">
        <v>0.147</v>
      </c>
      <c r="G1189" s="100" t="str">
        <f>CONCATENATE(D1189," - ",E1189,", ")</f>
        <v>Misc. Aluminium scrap - 0.147, </v>
      </c>
      <c r="H1189" s="97"/>
      <c r="I1189" s="97" t="e">
        <f ca="1">IF(G1188&gt;=6,(MID(H1189,1,1)&amp;MID(H1189,2,4)+1),CELL("address",Z1189))</f>
        <v>#VALUE!</v>
      </c>
      <c r="J1189" s="97" t="e">
        <f ca="1">IF(G1188&gt;=7,(MID(I1189,1,1)&amp;MID(I1189,2,4)+1),CELL("address",AA1189))</f>
        <v>#VALUE!</v>
      </c>
      <c r="K1189" s="97" t="e">
        <f ca="1">IF(G1188&gt;=8,(MID(J1189,1,1)&amp;MID(J1189,2,4)+1),CELL("address",AB1189))</f>
        <v>#VALUE!</v>
      </c>
      <c r="L1189" s="97" t="e">
        <f ca="1">IF(G1188&gt;=9,(MID(K1189,1,1)&amp;MID(K1189,2,4)+1),CELL("address",AC1189))</f>
        <v>#VALUE!</v>
      </c>
      <c r="M1189" s="97" t="e">
        <f ca="1">IF(G1188&gt;=10,(MID(L1189,1,1)&amp;MID(L1189,2,4)+1),CELL("address",AD1189))</f>
        <v>#VALUE!</v>
      </c>
      <c r="N1189" s="97" t="e">
        <f ca="1">IF(G1188&gt;=11,(MID(M1189,1,1)&amp;MID(M1189,2,4)+1),CELL("address",AE1189))</f>
        <v>#VALUE!</v>
      </c>
      <c r="O1189" s="97" t="e">
        <f ca="1">IF(G1188&gt;=12,(MID(N1189,1,1)&amp;MID(N1189,2,4)+1),CELL("address",AF1189))</f>
        <v>#VALUE!</v>
      </c>
    </row>
    <row r="1190" spans="1:8" ht="15" customHeight="1">
      <c r="A1190" s="299"/>
      <c r="B1190" s="299"/>
      <c r="C1190" s="300"/>
      <c r="D1190" s="39" t="s">
        <v>37</v>
      </c>
      <c r="E1190" s="45">
        <v>0.027</v>
      </c>
      <c r="G1190" s="100" t="str">
        <f>CONCATENATE(D1190," - ",E1190,", ")</f>
        <v>Burnt Cu scrap - 0.027, </v>
      </c>
      <c r="H1190" s="1"/>
    </row>
    <row r="1191" spans="1:8" ht="15" customHeight="1">
      <c r="A1191" s="299"/>
      <c r="B1191" s="299"/>
      <c r="C1191" s="300"/>
      <c r="D1191" s="44" t="s">
        <v>75</v>
      </c>
      <c r="E1191" s="45">
        <v>0.081</v>
      </c>
      <c r="G1191" s="100" t="str">
        <f>CONCATENATE(D1191," - ",E1191,", ")</f>
        <v> Iron scrap - 0.081, </v>
      </c>
      <c r="H1191" s="1"/>
    </row>
    <row r="1192" spans="1:8" ht="15" customHeight="1">
      <c r="A1192" s="34"/>
      <c r="B1192" s="1"/>
      <c r="C1192" s="1"/>
      <c r="D1192" s="1"/>
      <c r="E1192" s="1"/>
      <c r="H1192" s="1"/>
    </row>
    <row r="1193" spans="1:8" ht="15" customHeight="1">
      <c r="A1193" s="310"/>
      <c r="B1193" s="311"/>
      <c r="C1193" s="65"/>
      <c r="D1193" s="65"/>
      <c r="E1193" s="66">
        <f>SUM(E1195:E1199)</f>
        <v>2.086</v>
      </c>
      <c r="H1193" s="1"/>
    </row>
    <row r="1194" spans="1:18" ht="15" customHeight="1">
      <c r="A1194" s="301" t="s">
        <v>5</v>
      </c>
      <c r="B1194" s="306"/>
      <c r="C1194" s="63" t="s">
        <v>17</v>
      </c>
      <c r="D1194" s="64" t="s">
        <v>18</v>
      </c>
      <c r="E1194" s="63" t="s">
        <v>7</v>
      </c>
      <c r="G1194" s="166" t="str">
        <f>CONCATENATE("Misc. Healthy parts/ Non Ferrous  Scrap, Lying at ",C1195,". Quantity in MT - ")</f>
        <v>Misc. Healthy parts/ Non Ferrous  Scrap, Lying at TRY Bhagta Bhai Ka. Quantity in MT - </v>
      </c>
      <c r="H1194" s="297" t="str">
        <f ca="1">CONCATENATE(G1194,G1195,(INDIRECT(I1195)),(INDIRECT(J1195)),(INDIRECT(K1195)),(INDIRECT(L1195)),(INDIRECT(M1195)),(INDIRECT(N1195)),(INDIRECT(O1195)),(INDIRECT(P1195)),(INDIRECT(Q1195)),(INDIRECT(R1195)),".")</f>
        <v>Misc. Healthy parts/ Non Ferrous  Scrap, Lying at TRY Bhagta Bhai Ka. Quantity in MT - Brass scrap - 1.22, Misc. Aluminium scrap - 0.151, Burnt Cu scrap - 0.037,  Iron scrap - 0.088, Nuts &amp; Bolts scrap - 0.59, .</v>
      </c>
      <c r="I1194" s="97" t="str">
        <f aca="true" ca="1" t="array" ref="I1194">CELL("address",INDEX(G1194:G1218,MATCH(TRUE,ISBLANK(G1194:G1218),0)))</f>
        <v>$G$1200</v>
      </c>
      <c r="J1194" s="97">
        <f aca="true" t="array" ref="J1194">MATCH(TRUE,ISBLANK(G1194:G1218),0)</f>
        <v>7</v>
      </c>
      <c r="K1194" s="97">
        <f>J1194-3</f>
        <v>4</v>
      </c>
      <c r="L1194" s="97"/>
      <c r="M1194" s="97"/>
      <c r="N1194" s="97"/>
      <c r="O1194" s="97"/>
      <c r="P1194" s="97"/>
      <c r="Q1194" s="97"/>
      <c r="R1194" s="97"/>
    </row>
    <row r="1195" spans="1:18" ht="15" customHeight="1">
      <c r="A1195" s="326" t="s">
        <v>233</v>
      </c>
      <c r="B1195" s="327"/>
      <c r="C1195" s="307" t="s">
        <v>132</v>
      </c>
      <c r="D1195" s="39" t="s">
        <v>23</v>
      </c>
      <c r="E1195" s="45">
        <v>1.22</v>
      </c>
      <c r="F1195" s="97"/>
      <c r="G1195" s="100" t="str">
        <f>CONCATENATE(D1195," - ",E1195,", ")</f>
        <v>Brass scrap - 1.22, </v>
      </c>
      <c r="H1195" s="297"/>
      <c r="I1195" s="97" t="str">
        <f ca="1">IF(J1194&gt;=3,(MID(I1194,2,1)&amp;MID(I1194,4,4)-K1194),CELL("address",Z1195))</f>
        <v>G1196</v>
      </c>
      <c r="J1195" s="97" t="str">
        <f ca="1">IF(J1194&gt;=4,(MID(I1195,1,1)&amp;MID(I1195,2,4)+1),CELL("address",AA1195))</f>
        <v>G1197</v>
      </c>
      <c r="K1195" s="97" t="str">
        <f ca="1">IF(J1194&gt;=5,(MID(J1195,1,1)&amp;MID(J1195,2,4)+1),CELL("address",AB1195))</f>
        <v>G1198</v>
      </c>
      <c r="L1195" s="97" t="str">
        <f ca="1">IF(J1194&gt;=6,(MID(K1195,1,1)&amp;MID(K1195,2,4)+1),CELL("address",AC1195))</f>
        <v>G1199</v>
      </c>
      <c r="M1195" s="97" t="str">
        <f ca="1">IF(J1194&gt;=7,(MID(L1195,1,1)&amp;MID(L1195,2,4)+1),CELL("address",AD1195))</f>
        <v>G1200</v>
      </c>
      <c r="N1195" s="97" t="str">
        <f ca="1">IF(J1194&gt;=8,(MID(M1195,1,1)&amp;MID(M1195,2,4)+1),CELL("address",AE1195))</f>
        <v>$AE$1195</v>
      </c>
      <c r="O1195" s="97" t="str">
        <f ca="1">IF(J1194&gt;=9,(MID(N1195,1,1)&amp;MID(N1195,2,4)+1),CELL("address",AF1195))</f>
        <v>$AF$1195</v>
      </c>
      <c r="P1195" s="97" t="str">
        <f ca="1">IF(J1194&gt;=10,(MID(O1195,1,1)&amp;MID(O1195,2,4)+1),CELL("address",AG1195))</f>
        <v>$AG$1195</v>
      </c>
      <c r="Q1195" s="97" t="str">
        <f ca="1">IF(J1194&gt;=11,(MID(P1195,1,1)&amp;MID(P1195,2,4)+1),CELL("address",AH1195))</f>
        <v>$AH$1195</v>
      </c>
      <c r="R1195" s="97" t="str">
        <f ca="1">IF(J1194&gt;=12,(MID(Q1195,1,1)&amp;MID(Q1195,2,4)+1),CELL("address",AI1195))</f>
        <v>$AI$1195</v>
      </c>
    </row>
    <row r="1196" spans="1:15" ht="15" customHeight="1">
      <c r="A1196" s="328"/>
      <c r="B1196" s="329"/>
      <c r="C1196" s="308"/>
      <c r="D1196" s="39" t="s">
        <v>24</v>
      </c>
      <c r="E1196" s="45">
        <v>0.151</v>
      </c>
      <c r="F1196" s="97"/>
      <c r="G1196" s="100" t="str">
        <f>CONCATENATE(D1196," - ",E1196,", ")</f>
        <v>Misc. Aluminium scrap - 0.151, </v>
      </c>
      <c r="H1196" s="97"/>
      <c r="I1196" s="97"/>
      <c r="J1196" s="97"/>
      <c r="K1196" s="97"/>
      <c r="L1196" s="97"/>
      <c r="M1196" s="97"/>
      <c r="N1196" s="97"/>
      <c r="O1196" s="97"/>
    </row>
    <row r="1197" spans="1:15" ht="15" customHeight="1">
      <c r="A1197" s="328"/>
      <c r="B1197" s="329"/>
      <c r="C1197" s="308"/>
      <c r="D1197" s="39" t="s">
        <v>37</v>
      </c>
      <c r="E1197" s="45">
        <v>0.037</v>
      </c>
      <c r="G1197" s="100" t="str">
        <f>CONCATENATE(D1197," - ",E1197,", ")</f>
        <v>Burnt Cu scrap - 0.037, </v>
      </c>
      <c r="H1197" s="97"/>
      <c r="I1197" s="97" t="e">
        <f ca="1">IF(G1196&gt;=6,(MID(H1197,1,1)&amp;MID(H1197,2,4)+1),CELL("address",Z1197))</f>
        <v>#VALUE!</v>
      </c>
      <c r="J1197" s="97" t="e">
        <f ca="1">IF(G1196&gt;=7,(MID(I1197,1,1)&amp;MID(I1197,2,4)+1),CELL("address",AA1197))</f>
        <v>#VALUE!</v>
      </c>
      <c r="K1197" s="97" t="e">
        <f ca="1">IF(G1196&gt;=8,(MID(J1197,1,1)&amp;MID(J1197,2,4)+1),CELL("address",AB1197))</f>
        <v>#VALUE!</v>
      </c>
      <c r="L1197" s="97" t="e">
        <f ca="1">IF(G1196&gt;=9,(MID(K1197,1,1)&amp;MID(K1197,2,4)+1),CELL("address",AC1197))</f>
        <v>#VALUE!</v>
      </c>
      <c r="M1197" s="97" t="e">
        <f ca="1">IF(G1196&gt;=10,(MID(L1197,1,1)&amp;MID(L1197,2,4)+1),CELL("address",AD1197))</f>
        <v>#VALUE!</v>
      </c>
      <c r="N1197" s="97" t="e">
        <f ca="1">IF(G1196&gt;=11,(MID(M1197,1,1)&amp;MID(M1197,2,4)+1),CELL("address",AE1197))</f>
        <v>#VALUE!</v>
      </c>
      <c r="O1197" s="97" t="e">
        <f ca="1">IF(G1196&gt;=12,(MID(N1197,1,1)&amp;MID(N1197,2,4)+1),CELL("address",AF1197))</f>
        <v>#VALUE!</v>
      </c>
    </row>
    <row r="1198" spans="1:8" ht="15" customHeight="1">
      <c r="A1198" s="328"/>
      <c r="B1198" s="329"/>
      <c r="C1198" s="308"/>
      <c r="D1198" s="44" t="s">
        <v>75</v>
      </c>
      <c r="E1198" s="45">
        <v>0.088</v>
      </c>
      <c r="G1198" s="100" t="str">
        <f>CONCATENATE(D1198," - ",E1198,", ")</f>
        <v> Iron scrap - 0.088, </v>
      </c>
      <c r="H1198" s="1"/>
    </row>
    <row r="1199" spans="1:8" ht="15" customHeight="1">
      <c r="A1199" s="330"/>
      <c r="B1199" s="331"/>
      <c r="C1199" s="309"/>
      <c r="D1199" s="39" t="s">
        <v>58</v>
      </c>
      <c r="E1199" s="45">
        <v>0.59</v>
      </c>
      <c r="F1199" s="97"/>
      <c r="G1199" s="100" t="str">
        <f>CONCATENATE(D1199," - ",E1199,", ")</f>
        <v>Nuts &amp; Bolts scrap - 0.59, </v>
      </c>
      <c r="H1199" s="1"/>
    </row>
    <row r="1200" spans="1:15" ht="15" customHeight="1">
      <c r="A1200" s="50"/>
      <c r="B1200" s="53"/>
      <c r="C1200" s="18"/>
      <c r="D1200" s="53"/>
      <c r="E1200" s="95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</row>
    <row r="1201" spans="1:15" ht="15" customHeight="1">
      <c r="A1201" s="310"/>
      <c r="B1201" s="311"/>
      <c r="C1201" s="65"/>
      <c r="D1201" s="65"/>
      <c r="E1201" s="117">
        <f>SUM(E1203:E1203)</f>
        <v>0.029</v>
      </c>
      <c r="G1201" s="97"/>
      <c r="H1201" s="97"/>
      <c r="I1201" s="97" t="str">
        <f ca="1">IF(G1200&gt;=6,(MID(H1201,1,1)&amp;MID(H1201,2,4)+1),CELL("address",Z1201))</f>
        <v>$Z$1201</v>
      </c>
      <c r="J1201" s="97" t="str">
        <f ca="1">IF(G1200&gt;=7,(MID(I1201,1,1)&amp;MID(I1201,2,4)+1),CELL("address",AA1201))</f>
        <v>$AA$1201</v>
      </c>
      <c r="K1201" s="97" t="str">
        <f ca="1">IF(G1200&gt;=8,(MID(J1201,1,1)&amp;MID(J1201,2,4)+1),CELL("address",AB1201))</f>
        <v>$AB$1201</v>
      </c>
      <c r="L1201" s="97" t="str">
        <f ca="1">IF(G1200&gt;=9,(MID(K1201,1,1)&amp;MID(K1201,2,4)+1),CELL("address",AC1201))</f>
        <v>$AC$1201</v>
      </c>
      <c r="M1201" s="97" t="str">
        <f ca="1">IF(G1200&gt;=10,(MID(L1201,1,1)&amp;MID(L1201,2,4)+1),CELL("address",AD1201))</f>
        <v>$AD$1201</v>
      </c>
      <c r="N1201" s="97" t="str">
        <f ca="1">IF(G1200&gt;=11,(MID(M1201,1,1)&amp;MID(M1201,2,4)+1),CELL("address",AE1201))</f>
        <v>$AE$1201</v>
      </c>
      <c r="O1201" s="97" t="str">
        <f ca="1">IF(G1200&gt;=12,(MID(N1201,1,1)&amp;MID(N1201,2,4)+1),CELL("address",AF1201))</f>
        <v>$AF$1201</v>
      </c>
    </row>
    <row r="1202" spans="1:18" ht="15" customHeight="1">
      <c r="A1202" s="299" t="s">
        <v>5</v>
      </c>
      <c r="B1202" s="299"/>
      <c r="C1202" s="63" t="s">
        <v>17</v>
      </c>
      <c r="D1202" s="64" t="s">
        <v>18</v>
      </c>
      <c r="E1202" s="67" t="s">
        <v>7</v>
      </c>
      <c r="G1202" s="166" t="str">
        <f>CONCATENATE("Misc. Healthy parts/ Non Ferrous  Scrap, Lying at ",C1203,". Quantity in MT - ")</f>
        <v>Misc. Healthy parts/ Non Ferrous  Scrap, Lying at OL Barnala. Quantity in MT - </v>
      </c>
      <c r="H1202" s="297" t="str">
        <f ca="1">CONCATENATE(G1202,G1203,(INDIRECT(I1203)),(INDIRECT(J1203)),(INDIRECT(K1203)),(INDIRECT(L1203)),(INDIRECT(M1203)),(INDIRECT(N1203)),(INDIRECT(O1203)),(INDIRECT(P1203)),(INDIRECT(Q1203)),(INDIRECT(R1203)),".")</f>
        <v>Misc. Healthy parts/ Non Ferrous  Scrap, Lying at OL Barnala. Quantity in MT - Misc. copper scrap - 0.029, .</v>
      </c>
      <c r="I1202" s="97" t="str">
        <f aca="true" ca="1" t="array" ref="I1202">CELL("address",INDEX(G1202:G1224,MATCH(TRUE,ISBLANK(G1202:G1224),0)))</f>
        <v>$G$1204</v>
      </c>
      <c r="J1202" s="97">
        <f aca="true" t="array" ref="J1202">MATCH(TRUE,ISBLANK(G1202:G1224),0)</f>
        <v>3</v>
      </c>
      <c r="K1202" s="97">
        <f>J1202-3</f>
        <v>0</v>
      </c>
      <c r="L1202" s="97"/>
      <c r="M1202" s="97"/>
      <c r="N1202" s="97"/>
      <c r="O1202" s="97"/>
      <c r="P1202" s="97"/>
      <c r="Q1202" s="97"/>
      <c r="R1202" s="97"/>
    </row>
    <row r="1203" spans="1:18" ht="15" customHeight="1">
      <c r="A1203" s="299" t="s">
        <v>193</v>
      </c>
      <c r="B1203" s="299"/>
      <c r="C1203" s="250" t="s">
        <v>189</v>
      </c>
      <c r="D1203" s="59" t="s">
        <v>111</v>
      </c>
      <c r="E1203" s="68">
        <v>0.029</v>
      </c>
      <c r="G1203" s="100" t="str">
        <f>CONCATENATE(D1203," - ",E1203,", ")</f>
        <v>Misc. copper scrap - 0.029, </v>
      </c>
      <c r="H1203" s="297"/>
      <c r="I1203" s="97" t="str">
        <f ca="1">IF(J1202&gt;=3,(MID(I1202,2,1)&amp;MID(I1202,4,4)-K1202),CELL("address",Z1203))</f>
        <v>G1204</v>
      </c>
      <c r="J1203" s="97" t="str">
        <f ca="1">IF(J1202&gt;=4,(MID(I1203,1,1)&amp;MID(I1203,2,4)+1),CELL("address",AA1203))</f>
        <v>$AA$1203</v>
      </c>
      <c r="K1203" s="97" t="str">
        <f ca="1">IF(J1202&gt;=5,(MID(J1203,1,1)&amp;MID(J1203,2,4)+1),CELL("address",AB1203))</f>
        <v>$AB$1203</v>
      </c>
      <c r="L1203" s="97" t="str">
        <f ca="1">IF(J1202&gt;=6,(MID(K1203,1,1)&amp;MID(K1203,2,4)+1),CELL("address",AC1203))</f>
        <v>$AC$1203</v>
      </c>
      <c r="M1203" s="97" t="str">
        <f ca="1">IF(J1202&gt;=7,(MID(L1203,1,1)&amp;MID(L1203,2,4)+1),CELL("address",AD1203))</f>
        <v>$AD$1203</v>
      </c>
      <c r="N1203" s="97" t="str">
        <f ca="1">IF(J1202&gt;=8,(MID(M1203,1,1)&amp;MID(M1203,2,4)+1),CELL("address",AE1203))</f>
        <v>$AE$1203</v>
      </c>
      <c r="O1203" s="97" t="str">
        <f ca="1">IF(J1202&gt;=9,(MID(N1203,1,1)&amp;MID(N1203,2,4)+1),CELL("address",AF1203))</f>
        <v>$AF$1203</v>
      </c>
      <c r="P1203" s="97" t="str">
        <f ca="1">IF(J1202&gt;=10,(MID(O1203,1,1)&amp;MID(O1203,2,4)+1),CELL("address",AG1203))</f>
        <v>$AG$1203</v>
      </c>
      <c r="Q1203" s="97" t="str">
        <f ca="1">IF(J1202&gt;=11,(MID(P1203,1,1)&amp;MID(P1203,2,4)+1),CELL("address",AH1203))</f>
        <v>$AH$1203</v>
      </c>
      <c r="R1203" s="97" t="str">
        <f ca="1">IF(J1202&gt;=12,(MID(Q1203,1,1)&amp;MID(Q1203,2,4)+1),CELL("address",AI1203))</f>
        <v>$AI$1203</v>
      </c>
    </row>
    <row r="1204" spans="1:8" ht="15" customHeight="1">
      <c r="A1204" s="34"/>
      <c r="B1204" s="1"/>
      <c r="C1204" s="1"/>
      <c r="D1204" s="1"/>
      <c r="E1204" s="1"/>
      <c r="H1204" s="1"/>
    </row>
    <row r="1205" spans="1:8" ht="15" customHeight="1">
      <c r="A1205" s="310"/>
      <c r="B1205" s="311"/>
      <c r="C1205" s="65"/>
      <c r="D1205" s="65"/>
      <c r="E1205" s="117">
        <f>SUM(E1207:E1211)</f>
        <v>3.0719999999999996</v>
      </c>
      <c r="F1205" s="97"/>
      <c r="H1205" s="1"/>
    </row>
    <row r="1206" spans="1:18" ht="15" customHeight="1">
      <c r="A1206" s="299" t="s">
        <v>5</v>
      </c>
      <c r="B1206" s="299"/>
      <c r="C1206" s="63" t="s">
        <v>17</v>
      </c>
      <c r="D1206" s="64" t="s">
        <v>18</v>
      </c>
      <c r="E1206" s="67" t="s">
        <v>7</v>
      </c>
      <c r="F1206" s="97"/>
      <c r="G1206" s="166" t="str">
        <f>CONCATENATE("Misc. Healthy parts/ Non Ferrous  Scrap, Lying at ",C1207,". Quantity in MT - ")</f>
        <v>Misc. Healthy parts/ Non Ferrous  Scrap, Lying at TRY Moga. Quantity in MT - </v>
      </c>
      <c r="H1206" s="297" t="str">
        <f ca="1">CONCATENATE(G1206,G1207,(INDIRECT(I1207)),(INDIRECT(J1207)),(INDIRECT(K1207)),(INDIRECT(L1207)),(INDIRECT(M1207)),(INDIRECT(N1207)),(INDIRECT(O1207)),(INDIRECT(P1207)),(INDIRECT(Q1207)),(INDIRECT(R1207)),".")</f>
        <v>Misc. Healthy parts/ Non Ferrous  Scrap, Lying at TRY Moga. Quantity in MT - Brass scrap - 1.769, Misc. Alumn. Scrap - 0.301, Iron scrap - 0.125, Burnt Cu scrap - 0.062, Nuts &amp; Bolts scrap - 0.815, .</v>
      </c>
      <c r="I1206" s="97" t="str">
        <f aca="true" ca="1" t="array" ref="I1206">CELL("address",INDEX(G1206:G1224,MATCH(TRUE,ISBLANK(G1206:G1224),0)))</f>
        <v>$G$1212</v>
      </c>
      <c r="J1206" s="97">
        <f aca="true" t="array" ref="J1206">MATCH(TRUE,ISBLANK(G1206:G1224),0)</f>
        <v>7</v>
      </c>
      <c r="K1206" s="97">
        <f>J1206-3</f>
        <v>4</v>
      </c>
      <c r="L1206" s="97"/>
      <c r="M1206" s="97"/>
      <c r="N1206" s="97"/>
      <c r="O1206" s="97"/>
      <c r="P1206" s="97"/>
      <c r="Q1206" s="97"/>
      <c r="R1206" s="97"/>
    </row>
    <row r="1207" spans="1:18" ht="15" customHeight="1">
      <c r="A1207" s="299" t="s">
        <v>194</v>
      </c>
      <c r="B1207" s="299"/>
      <c r="C1207" s="300" t="s">
        <v>221</v>
      </c>
      <c r="D1207" s="44" t="s">
        <v>23</v>
      </c>
      <c r="E1207" s="118">
        <v>1.769</v>
      </c>
      <c r="F1207" s="97"/>
      <c r="G1207" s="100" t="str">
        <f>CONCATENATE(D1207," - ",E1207,", ")</f>
        <v>Brass scrap - 1.769, </v>
      </c>
      <c r="H1207" s="297"/>
      <c r="I1207" s="97" t="str">
        <f ca="1">IF(J1206&gt;=3,(MID(I1206,2,1)&amp;MID(I1206,4,4)-K1206),CELL("address",Z1207))</f>
        <v>G1208</v>
      </c>
      <c r="J1207" s="97" t="str">
        <f ca="1">IF(J1206&gt;=4,(MID(I1207,1,1)&amp;MID(I1207,2,4)+1),CELL("address",AA1207))</f>
        <v>G1209</v>
      </c>
      <c r="K1207" s="97" t="str">
        <f ca="1">IF(J1206&gt;=5,(MID(J1207,1,1)&amp;MID(J1207,2,4)+1),CELL("address",AB1207))</f>
        <v>G1210</v>
      </c>
      <c r="L1207" s="97" t="str">
        <f ca="1">IF(J1206&gt;=6,(MID(K1207,1,1)&amp;MID(K1207,2,4)+1),CELL("address",AC1207))</f>
        <v>G1211</v>
      </c>
      <c r="M1207" s="97" t="str">
        <f ca="1">IF(J1206&gt;=7,(MID(L1207,1,1)&amp;MID(L1207,2,4)+1),CELL("address",AD1207))</f>
        <v>G1212</v>
      </c>
      <c r="N1207" s="97" t="str">
        <f ca="1">IF(J1206&gt;=8,(MID(M1207,1,1)&amp;MID(M1207,2,4)+1),CELL("address",AE1207))</f>
        <v>$AE$1207</v>
      </c>
      <c r="O1207" s="97" t="str">
        <f ca="1">IF(J1206&gt;=9,(MID(N1207,1,1)&amp;MID(N1207,2,4)+1),CELL("address",AF1207))</f>
        <v>$AF$1207</v>
      </c>
      <c r="P1207" s="97" t="str">
        <f ca="1">IF(J1206&gt;=10,(MID(O1207,1,1)&amp;MID(O1207,2,4)+1),CELL("address",AG1207))</f>
        <v>$AG$1207</v>
      </c>
      <c r="Q1207" s="97" t="str">
        <f ca="1">IF(J1206&gt;=11,(MID(P1207,1,1)&amp;MID(P1207,2,4)+1),CELL("address",AH1207))</f>
        <v>$AH$1207</v>
      </c>
      <c r="R1207" s="97" t="str">
        <f ca="1">IF(J1206&gt;=12,(MID(Q1207,1,1)&amp;MID(Q1207,2,4)+1),CELL("address",AI1207))</f>
        <v>$AI$1207</v>
      </c>
    </row>
    <row r="1208" spans="1:15" ht="15" customHeight="1">
      <c r="A1208" s="299"/>
      <c r="B1208" s="299"/>
      <c r="C1208" s="300"/>
      <c r="D1208" s="44" t="s">
        <v>31</v>
      </c>
      <c r="E1208" s="67">
        <v>0.301</v>
      </c>
      <c r="G1208" s="100" t="str">
        <f>CONCATENATE(D1208," - ",E1208,", ")</f>
        <v>Misc. Alumn. Scrap - 0.301, </v>
      </c>
      <c r="H1208" s="97"/>
      <c r="I1208" s="97"/>
      <c r="J1208" s="97"/>
      <c r="K1208" s="97"/>
      <c r="L1208" s="97"/>
      <c r="M1208" s="97"/>
      <c r="N1208" s="97"/>
      <c r="O1208" s="97"/>
    </row>
    <row r="1209" spans="1:8" ht="15" customHeight="1">
      <c r="A1209" s="299"/>
      <c r="B1209" s="299"/>
      <c r="C1209" s="300"/>
      <c r="D1209" s="39" t="s">
        <v>27</v>
      </c>
      <c r="E1209" s="67">
        <v>0.125</v>
      </c>
      <c r="G1209" s="100" t="str">
        <f>CONCATENATE(D1209," - ",E1209,", ")</f>
        <v>Iron scrap - 0.125, </v>
      </c>
      <c r="H1209" s="1"/>
    </row>
    <row r="1210" spans="1:8" ht="15" customHeight="1">
      <c r="A1210" s="299"/>
      <c r="B1210" s="299"/>
      <c r="C1210" s="300"/>
      <c r="D1210" s="39" t="s">
        <v>37</v>
      </c>
      <c r="E1210" s="63">
        <v>0.062</v>
      </c>
      <c r="G1210" s="100" t="str">
        <f>CONCATENATE(D1210," - ",E1210,", ")</f>
        <v>Burnt Cu scrap - 0.062, </v>
      </c>
      <c r="H1210" s="1"/>
    </row>
    <row r="1211" spans="1:8" ht="15" customHeight="1">
      <c r="A1211" s="299"/>
      <c r="B1211" s="299"/>
      <c r="C1211" s="300"/>
      <c r="D1211" s="39" t="s">
        <v>58</v>
      </c>
      <c r="E1211" s="63">
        <v>0.815</v>
      </c>
      <c r="G1211" s="198" t="str">
        <f>CONCATENATE(D1211," - ",E1211,", ")</f>
        <v>Nuts &amp; Bolts scrap - 0.815, </v>
      </c>
      <c r="H1211" s="1"/>
    </row>
    <row r="1212" spans="1:8" ht="15" customHeight="1">
      <c r="A1212" s="34"/>
      <c r="B1212" s="1"/>
      <c r="C1212" s="1"/>
      <c r="D1212" s="1"/>
      <c r="E1212" s="1"/>
      <c r="F1212" s="97"/>
      <c r="H1212" s="1"/>
    </row>
    <row r="1213" spans="1:15" ht="15" customHeight="1">
      <c r="A1213" s="310"/>
      <c r="B1213" s="311"/>
      <c r="C1213" s="65"/>
      <c r="D1213" s="65"/>
      <c r="E1213" s="117">
        <f>SUM(E1215:E1216)</f>
        <v>0.346</v>
      </c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</row>
    <row r="1214" spans="1:18" ht="15" customHeight="1">
      <c r="A1214" s="299" t="s">
        <v>5</v>
      </c>
      <c r="B1214" s="299"/>
      <c r="C1214" s="63" t="s">
        <v>17</v>
      </c>
      <c r="D1214" s="64" t="s">
        <v>18</v>
      </c>
      <c r="E1214" s="67" t="s">
        <v>7</v>
      </c>
      <c r="G1214" s="166" t="str">
        <f>CONCATENATE("Misc. Healthy parts/ Non Ferrous  Scrap, Lying at ",C1215,". Quantity in MT - ")</f>
        <v>Misc. Healthy parts/ Non Ferrous  Scrap, Lying at CS Ferozepur. Quantity in MT - </v>
      </c>
      <c r="H1214" s="297" t="str">
        <f ca="1">CONCATENATE(G1214,G1215,(INDIRECT(I1215)),(INDIRECT(J1215)),(INDIRECT(K1215)),(INDIRECT(L1215)),(INDIRECT(M1215)),(INDIRECT(N1215)),(INDIRECT(O1215)),(INDIRECT(P1215)),(INDIRECT(Q1215)),(INDIRECT(R1215)),".")</f>
        <v>Misc. Healthy parts/ Non Ferrous  Scrap, Lying at CS Ferozepur. Quantity in MT - Misc. copper scrap - 0.174, All Alumn. Conductor Scrap - 0.172, .</v>
      </c>
      <c r="I1214" s="97" t="str">
        <f aca="true" ca="1" t="array" ref="I1214">CELL("address",INDEX(G1214:G1228,MATCH(TRUE,ISBLANK(G1214:G1228),0)))</f>
        <v>$G$1217</v>
      </c>
      <c r="J1214" s="97">
        <f aca="true" t="array" ref="J1214">MATCH(TRUE,ISBLANK(G1214:G1228),0)</f>
        <v>4</v>
      </c>
      <c r="K1214" s="97">
        <f>J1214-3</f>
        <v>1</v>
      </c>
      <c r="L1214" s="97"/>
      <c r="M1214" s="97"/>
      <c r="N1214" s="97"/>
      <c r="O1214" s="97"/>
      <c r="P1214" s="97"/>
      <c r="Q1214" s="97"/>
      <c r="R1214" s="97"/>
    </row>
    <row r="1215" spans="1:18" ht="15" customHeight="1">
      <c r="A1215" s="299" t="s">
        <v>234</v>
      </c>
      <c r="B1215" s="299"/>
      <c r="C1215" s="300" t="s">
        <v>99</v>
      </c>
      <c r="D1215" s="59" t="s">
        <v>111</v>
      </c>
      <c r="E1215" s="68">
        <v>0.174</v>
      </c>
      <c r="G1215" s="100" t="str">
        <f>CONCATENATE(D1215," - ",E1215,", ")</f>
        <v>Misc. copper scrap - 0.174, </v>
      </c>
      <c r="H1215" s="297"/>
      <c r="I1215" s="97" t="str">
        <f ca="1">IF(J1214&gt;=3,(MID(I1214,2,1)&amp;MID(I1214,4,4)-K1214),CELL("address",Z1215))</f>
        <v>G1216</v>
      </c>
      <c r="J1215" s="97" t="str">
        <f ca="1">IF(J1214&gt;=4,(MID(I1215,1,1)&amp;MID(I1215,2,4)+1),CELL("address",AA1215))</f>
        <v>G1217</v>
      </c>
      <c r="K1215" s="97" t="str">
        <f ca="1">IF(J1214&gt;=5,(MID(J1215,1,1)&amp;MID(J1215,2,4)+1),CELL("address",AB1215))</f>
        <v>$AB$1215</v>
      </c>
      <c r="L1215" s="97" t="str">
        <f ca="1">IF(J1214&gt;=6,(MID(K1215,1,1)&amp;MID(K1215,2,4)+1),CELL("address",AC1215))</f>
        <v>$AC$1215</v>
      </c>
      <c r="M1215" s="97" t="str">
        <f ca="1">IF(J1214&gt;=7,(MID(L1215,1,1)&amp;MID(L1215,2,4)+1),CELL("address",AD1215))</f>
        <v>$AD$1215</v>
      </c>
      <c r="N1215" s="97" t="str">
        <f ca="1">IF(J1214&gt;=8,(MID(M1215,1,1)&amp;MID(M1215,2,4)+1),CELL("address",AE1215))</f>
        <v>$AE$1215</v>
      </c>
      <c r="O1215" s="97" t="str">
        <f ca="1">IF(J1214&gt;=9,(MID(N1215,1,1)&amp;MID(N1215,2,4)+1),CELL("address",AF1215))</f>
        <v>$AF$1215</v>
      </c>
      <c r="P1215" s="97" t="str">
        <f ca="1">IF(J1214&gt;=10,(MID(O1215,1,1)&amp;MID(O1215,2,4)+1),CELL("address",AG1215))</f>
        <v>$AG$1215</v>
      </c>
      <c r="Q1215" s="97" t="str">
        <f ca="1">IF(J1214&gt;=11,(MID(P1215,1,1)&amp;MID(P1215,2,4)+1),CELL("address",AH1215))</f>
        <v>$AH$1215</v>
      </c>
      <c r="R1215" s="97" t="str">
        <f ca="1">IF(J1214&gt;=12,(MID(Q1215,1,1)&amp;MID(Q1215,2,4)+1),CELL("address",AI1215))</f>
        <v>$AI$1215</v>
      </c>
    </row>
    <row r="1216" spans="1:8" ht="15" customHeight="1">
      <c r="A1216" s="299"/>
      <c r="B1216" s="299"/>
      <c r="C1216" s="300"/>
      <c r="D1216" s="44" t="s">
        <v>32</v>
      </c>
      <c r="E1216" s="45">
        <v>0.172</v>
      </c>
      <c r="G1216" s="100" t="str">
        <f>CONCATENATE(D1216," - ",E1216,", ")</f>
        <v>All Alumn. Conductor Scrap - 0.172, </v>
      </c>
      <c r="H1216" s="1"/>
    </row>
    <row r="1217" spans="1:8" ht="15" customHeight="1">
      <c r="A1217" s="34"/>
      <c r="B1217" s="1"/>
      <c r="C1217" s="1"/>
      <c r="D1217" s="1"/>
      <c r="E1217" s="1"/>
      <c r="H1217" s="1"/>
    </row>
    <row r="1218" spans="1:8" ht="15" customHeight="1">
      <c r="A1218" s="310"/>
      <c r="B1218" s="311"/>
      <c r="C1218" s="65"/>
      <c r="D1218" s="65"/>
      <c r="E1218" s="117">
        <f>SUM(E1220:E1223)</f>
        <v>0.36700000000000005</v>
      </c>
      <c r="H1218" s="1"/>
    </row>
    <row r="1219" spans="1:18" ht="15" customHeight="1">
      <c r="A1219" s="299" t="s">
        <v>5</v>
      </c>
      <c r="B1219" s="299"/>
      <c r="C1219" s="63" t="s">
        <v>17</v>
      </c>
      <c r="D1219" s="64" t="s">
        <v>18</v>
      </c>
      <c r="E1219" s="67" t="s">
        <v>7</v>
      </c>
      <c r="F1219" s="97"/>
      <c r="G1219" s="166" t="str">
        <f>CONCATENATE("Misc. Healthy parts/ Non Ferrous  Scrap, Lying at ",C1220,". Quantity in MT - ")</f>
        <v>Misc. Healthy parts/ Non Ferrous  Scrap, Lying at TRY Barnala. Quantity in MT - </v>
      </c>
      <c r="H1219" s="297" t="str">
        <f ca="1">CONCATENATE(G1219,G1220,(INDIRECT(I1220)),(INDIRECT(J1220)),(INDIRECT(K1220)),(INDIRECT(L1220)),(INDIRECT(M1220)),(INDIRECT(N1220)),(INDIRECT(O1220)),(INDIRECT(P1220)),(INDIRECT(Q1220)),(INDIRECT(R1220)),".")</f>
        <v>Misc. Healthy parts/ Non Ferrous  Scrap, Lying at TRY Barnala. Quantity in MT - Brass scrap - 0.276, Misc. Alumn. Scrap - 0.011, Iron scrap - 0.066, Burnt Cu scrap - 0.014, .</v>
      </c>
      <c r="I1219" s="97" t="str">
        <f aca="true" ca="1" t="array" ref="I1219">CELL("address",INDEX(G1219:G1233,MATCH(TRUE,ISBLANK(G1219:G1233),0)))</f>
        <v>$G$1224</v>
      </c>
      <c r="J1219" s="97">
        <f aca="true" t="array" ref="J1219">MATCH(TRUE,ISBLANK(G1219:G1233),0)</f>
        <v>6</v>
      </c>
      <c r="K1219" s="97">
        <f>J1219-3</f>
        <v>3</v>
      </c>
      <c r="L1219" s="97"/>
      <c r="M1219" s="97"/>
      <c r="N1219" s="97"/>
      <c r="O1219" s="97"/>
      <c r="P1219" s="97"/>
      <c r="Q1219" s="97"/>
      <c r="R1219" s="97"/>
    </row>
    <row r="1220" spans="1:18" ht="13.5" customHeight="1">
      <c r="A1220" s="299" t="s">
        <v>247</v>
      </c>
      <c r="B1220" s="299"/>
      <c r="C1220" s="300" t="s">
        <v>314</v>
      </c>
      <c r="D1220" s="44" t="s">
        <v>23</v>
      </c>
      <c r="E1220" s="118">
        <v>0.276</v>
      </c>
      <c r="F1220" s="97"/>
      <c r="G1220" s="100" t="str">
        <f>CONCATENATE(D1220," - ",E1220,", ")</f>
        <v>Brass scrap - 0.276, </v>
      </c>
      <c r="H1220" s="297"/>
      <c r="I1220" s="97" t="str">
        <f ca="1">IF(J1219&gt;=3,(MID(I1219,2,1)&amp;MID(I1219,4,4)-K1219),CELL("address",Z1220))</f>
        <v>G1221</v>
      </c>
      <c r="J1220" s="97" t="str">
        <f ca="1">IF(J1219&gt;=4,(MID(I1220,1,1)&amp;MID(I1220,2,4)+1),CELL("address",AA1220))</f>
        <v>G1222</v>
      </c>
      <c r="K1220" s="97" t="str">
        <f ca="1">IF(J1219&gt;=5,(MID(J1220,1,1)&amp;MID(J1220,2,4)+1),CELL("address",AB1220))</f>
        <v>G1223</v>
      </c>
      <c r="L1220" s="97" t="str">
        <f ca="1">IF(J1219&gt;=6,(MID(K1220,1,1)&amp;MID(K1220,2,4)+1),CELL("address",AC1220))</f>
        <v>G1224</v>
      </c>
      <c r="M1220" s="97" t="str">
        <f ca="1">IF(J1219&gt;=7,(MID(L1220,1,1)&amp;MID(L1220,2,4)+1),CELL("address",AD1220))</f>
        <v>$AD$1220</v>
      </c>
      <c r="N1220" s="97" t="str">
        <f ca="1">IF(J1219&gt;=8,(MID(M1220,1,1)&amp;MID(M1220,2,4)+1),CELL("address",AE1220))</f>
        <v>$AE$1220</v>
      </c>
      <c r="O1220" s="97" t="str">
        <f ca="1">IF(J1219&gt;=9,(MID(N1220,1,1)&amp;MID(N1220,2,4)+1),CELL("address",AF1220))</f>
        <v>$AF$1220</v>
      </c>
      <c r="P1220" s="97" t="str">
        <f ca="1">IF(J1219&gt;=10,(MID(O1220,1,1)&amp;MID(O1220,2,4)+1),CELL("address",AG1220))</f>
        <v>$AG$1220</v>
      </c>
      <c r="Q1220" s="97" t="str">
        <f ca="1">IF(J1219&gt;=11,(MID(P1220,1,1)&amp;MID(P1220,2,4)+1),CELL("address",AH1220))</f>
        <v>$AH$1220</v>
      </c>
      <c r="R1220" s="97" t="str">
        <f ca="1">IF(J1219&gt;=12,(MID(Q1220,1,1)&amp;MID(Q1220,2,4)+1),CELL("address",AI1220))</f>
        <v>$AI$1220</v>
      </c>
    </row>
    <row r="1221" spans="1:15" ht="15" customHeight="1">
      <c r="A1221" s="299"/>
      <c r="B1221" s="299"/>
      <c r="C1221" s="300"/>
      <c r="D1221" s="44" t="s">
        <v>31</v>
      </c>
      <c r="E1221" s="67">
        <v>0.011</v>
      </c>
      <c r="G1221" s="100" t="str">
        <f>CONCATENATE(D1221," - ",E1221,", ")</f>
        <v>Misc. Alumn. Scrap - 0.011, </v>
      </c>
      <c r="H1221" s="97"/>
      <c r="I1221" s="97" t="e">
        <f ca="1">IF(G1220&gt;=6,(MID(H1221,1,1)&amp;MID(H1221,2,4)+1),CELL("address",Z1221))</f>
        <v>#VALUE!</v>
      </c>
      <c r="J1221" s="97" t="e">
        <f ca="1">IF(G1220&gt;=7,(MID(I1221,1,1)&amp;MID(I1221,2,4)+1),CELL("address",AA1221))</f>
        <v>#VALUE!</v>
      </c>
      <c r="K1221" s="97" t="e">
        <f ca="1">IF(G1220&gt;=8,(MID(J1221,1,1)&amp;MID(J1221,2,4)+1),CELL("address",AB1221))</f>
        <v>#VALUE!</v>
      </c>
      <c r="L1221" s="97" t="e">
        <f ca="1">IF(G1220&gt;=9,(MID(K1221,1,1)&amp;MID(K1221,2,4)+1),CELL("address",AC1221))</f>
        <v>#VALUE!</v>
      </c>
      <c r="M1221" s="97" t="e">
        <f ca="1">IF(G1220&gt;=10,(MID(L1221,1,1)&amp;MID(L1221,2,4)+1),CELL("address",AD1221))</f>
        <v>#VALUE!</v>
      </c>
      <c r="N1221" s="97" t="e">
        <f ca="1">IF(G1220&gt;=11,(MID(M1221,1,1)&amp;MID(M1221,2,4)+1),CELL("address",AE1221))</f>
        <v>#VALUE!</v>
      </c>
      <c r="O1221" s="97" t="e">
        <f ca="1">IF(G1220&gt;=12,(MID(N1221,1,1)&amp;MID(N1221,2,4)+1),CELL("address",AF1221))</f>
        <v>#VALUE!</v>
      </c>
    </row>
    <row r="1222" spans="1:8" ht="15" customHeight="1">
      <c r="A1222" s="299"/>
      <c r="B1222" s="299"/>
      <c r="C1222" s="300"/>
      <c r="D1222" s="39" t="s">
        <v>27</v>
      </c>
      <c r="E1222" s="67">
        <v>0.066</v>
      </c>
      <c r="G1222" s="100" t="str">
        <f>CONCATENATE(D1222," - ",E1222,", ")</f>
        <v>Iron scrap - 0.066, </v>
      </c>
      <c r="H1222" s="1"/>
    </row>
    <row r="1223" spans="1:8" ht="15" customHeight="1">
      <c r="A1223" s="299"/>
      <c r="B1223" s="299"/>
      <c r="C1223" s="300"/>
      <c r="D1223" s="39" t="s">
        <v>37</v>
      </c>
      <c r="E1223" s="257">
        <v>0.014</v>
      </c>
      <c r="G1223" s="100" t="str">
        <f>CONCATENATE(D1223," - ",E1223,", ")</f>
        <v>Burnt Cu scrap - 0.014, </v>
      </c>
      <c r="H1223" s="1"/>
    </row>
    <row r="1224" spans="1:8" ht="15" customHeight="1">
      <c r="A1224" s="34"/>
      <c r="B1224" s="1"/>
      <c r="C1224" s="1"/>
      <c r="D1224" s="1"/>
      <c r="E1224" s="1"/>
      <c r="H1224" s="1"/>
    </row>
    <row r="1225" spans="1:8" ht="14.25" customHeight="1">
      <c r="A1225" s="310"/>
      <c r="B1225" s="311"/>
      <c r="C1225" s="65"/>
      <c r="D1225" s="65"/>
      <c r="E1225" s="117">
        <f>SUM(E1227:E1228)</f>
        <v>0.649</v>
      </c>
      <c r="H1225" s="1"/>
    </row>
    <row r="1226" spans="1:18" ht="18.75" customHeight="1">
      <c r="A1226" s="299" t="s">
        <v>5</v>
      </c>
      <c r="B1226" s="299"/>
      <c r="C1226" s="63" t="s">
        <v>17</v>
      </c>
      <c r="D1226" s="64" t="s">
        <v>18</v>
      </c>
      <c r="E1226" s="67" t="s">
        <v>7</v>
      </c>
      <c r="G1226" s="166" t="str">
        <f>CONCATENATE("Misc. Healthy parts/ Non Ferrous  Scrap, Lying at ",C1227,". Quantity in MT - ")</f>
        <v>Misc. Healthy parts/ Non Ferrous  Scrap, Lying at TRY Patiala. Quantity in MT - </v>
      </c>
      <c r="H1226" s="297" t="str">
        <f ca="1">CONCATENATE(G1226,G1227,(INDIRECT(I1227)),(INDIRECT(J1227)),(INDIRECT(K1227)),(INDIRECT(L1227)),(INDIRECT(M1227)),(INDIRECT(N1227)),(INDIRECT(O1227)),(INDIRECT(P1227)),(INDIRECT(Q1227)),(INDIRECT(R1227)),".")</f>
        <v>Misc. Healthy parts/ Non Ferrous  Scrap, Lying at TRY Patiala. Quantity in MT - Brass scrap - 0.61, Misc. Alumn. Scrap - 0.039, .</v>
      </c>
      <c r="I1226" s="97" t="str">
        <f aca="true" ca="1" t="array" ref="I1226">CELL("address",INDEX(G1226:G1250,MATCH(TRUE,ISBLANK(G1226:G1250),0)))</f>
        <v>$G$1229</v>
      </c>
      <c r="J1226" s="97">
        <f aca="true" t="array" ref="J1226">MATCH(TRUE,ISBLANK(G1226:G1250),0)</f>
        <v>4</v>
      </c>
      <c r="K1226" s="97">
        <f>J1226-3</f>
        <v>1</v>
      </c>
      <c r="L1226" s="97"/>
      <c r="M1226" s="97"/>
      <c r="N1226" s="97"/>
      <c r="O1226" s="97"/>
      <c r="P1226" s="97"/>
      <c r="Q1226" s="97"/>
      <c r="R1226" s="97"/>
    </row>
    <row r="1227" spans="1:18" ht="18.75" customHeight="1">
      <c r="A1227" s="299" t="s">
        <v>263</v>
      </c>
      <c r="B1227" s="299"/>
      <c r="C1227" s="300" t="s">
        <v>120</v>
      </c>
      <c r="D1227" s="44" t="s">
        <v>23</v>
      </c>
      <c r="E1227" s="118">
        <v>0.61</v>
      </c>
      <c r="G1227" s="100" t="str">
        <f>CONCATENATE(D1227," - ",E1227,", ")</f>
        <v>Brass scrap - 0.61, </v>
      </c>
      <c r="H1227" s="297"/>
      <c r="I1227" s="97" t="str">
        <f ca="1">IF(J1226&gt;=3,(MID(I1226,2,1)&amp;MID(I1226,4,4)-K1226),CELL("address",Z1227))</f>
        <v>G1228</v>
      </c>
      <c r="J1227" s="97" t="str">
        <f ca="1">IF(J1226&gt;=4,(MID(I1227,1,1)&amp;MID(I1227,2,4)+1),CELL("address",AA1227))</f>
        <v>G1229</v>
      </c>
      <c r="K1227" s="97" t="str">
        <f ca="1">IF(J1226&gt;=5,(MID(J1227,1,1)&amp;MID(J1227,2,4)+1),CELL("address",AB1227))</f>
        <v>$AB$1227</v>
      </c>
      <c r="L1227" s="97" t="str">
        <f ca="1">IF(J1226&gt;=6,(MID(K1227,1,1)&amp;MID(K1227,2,4)+1),CELL("address",AC1227))</f>
        <v>$AC$1227</v>
      </c>
      <c r="M1227" s="97" t="str">
        <f ca="1">IF(J1226&gt;=7,(MID(L1227,1,1)&amp;MID(L1227,2,4)+1),CELL("address",AD1227))</f>
        <v>$AD$1227</v>
      </c>
      <c r="N1227" s="97" t="str">
        <f ca="1">IF(J1226&gt;=8,(MID(M1227,1,1)&amp;MID(M1227,2,4)+1),CELL("address",AE1227))</f>
        <v>$AE$1227</v>
      </c>
      <c r="O1227" s="97" t="str">
        <f ca="1">IF(J1226&gt;=9,(MID(N1227,1,1)&amp;MID(N1227,2,4)+1),CELL("address",AF1227))</f>
        <v>$AF$1227</v>
      </c>
      <c r="P1227" s="97" t="str">
        <f ca="1">IF(J1226&gt;=10,(MID(O1227,1,1)&amp;MID(O1227,2,4)+1),CELL("address",AG1227))</f>
        <v>$AG$1227</v>
      </c>
      <c r="Q1227" s="97" t="str">
        <f ca="1">IF(J1226&gt;=11,(MID(P1227,1,1)&amp;MID(P1227,2,4)+1),CELL("address",AH1227))</f>
        <v>$AH$1227</v>
      </c>
      <c r="R1227" s="97" t="str">
        <f ca="1">IF(J1226&gt;=12,(MID(Q1227,1,1)&amp;MID(Q1227,2,4)+1),CELL("address",AI1227))</f>
        <v>$AI$1227</v>
      </c>
    </row>
    <row r="1228" spans="1:8" ht="15.75" customHeight="1">
      <c r="A1228" s="299"/>
      <c r="B1228" s="299"/>
      <c r="C1228" s="300"/>
      <c r="D1228" s="44" t="s">
        <v>31</v>
      </c>
      <c r="E1228" s="67">
        <v>0.039</v>
      </c>
      <c r="G1228" s="100" t="str">
        <f>CONCATENATE(D1228," - ",E1228,", ")</f>
        <v>Misc. Alumn. Scrap - 0.039, </v>
      </c>
      <c r="H1228" s="1"/>
    </row>
    <row r="1229" spans="1:8" ht="14.25" customHeight="1">
      <c r="A1229" s="1"/>
      <c r="B1229" s="1"/>
      <c r="C1229" s="1"/>
      <c r="D1229" s="1"/>
      <c r="E1229" s="1"/>
      <c r="H1229" s="1"/>
    </row>
    <row r="1230" spans="1:8" ht="11.25" customHeight="1">
      <c r="A1230" s="310"/>
      <c r="B1230" s="311"/>
      <c r="C1230" s="65"/>
      <c r="D1230" s="65"/>
      <c r="E1230" s="66">
        <f>SUM(E1232:E1233)</f>
        <v>0.29000000000000004</v>
      </c>
      <c r="H1230" s="1"/>
    </row>
    <row r="1231" spans="1:18" ht="15" customHeight="1">
      <c r="A1231" s="299" t="s">
        <v>5</v>
      </c>
      <c r="B1231" s="299"/>
      <c r="C1231" s="63" t="s">
        <v>17</v>
      </c>
      <c r="D1231" s="64" t="s">
        <v>18</v>
      </c>
      <c r="E1231" s="63" t="s">
        <v>7</v>
      </c>
      <c r="G1231" s="166" t="str">
        <f>CONCATENATE("Misc. Healthy parts/ Non Ferrous  Scrap, Lying at ",C1232,". Quantity in MT - ")</f>
        <v>Misc. Healthy parts/ Non Ferrous  Scrap, Lying at TRY Ropar. Quantity in MT - </v>
      </c>
      <c r="H1231" s="297" t="str">
        <f ca="1">CONCATENATE(G1231,G1232,(INDIRECT(I1232)),(INDIRECT(J1232)),(INDIRECT(K1232)),(INDIRECT(L1232)),(INDIRECT(M1232)),(INDIRECT(N1232)),(INDIRECT(O1232)),(INDIRECT(P1232)),(INDIRECT(Q1232)),(INDIRECT(R1232)),".")</f>
        <v>Misc. Healthy parts/ Non Ferrous  Scrap, Lying at TRY Ropar. Quantity in MT - Misc. Alumn. Scrap - 0.154, Burnt Cu scrap - 0.136, .</v>
      </c>
      <c r="I1231" s="97" t="str">
        <f aca="true" ca="1" t="array" ref="I1231">CELL("address",INDEX(G1231:G1253,MATCH(TRUE,ISBLANK(G1231:G1253),0)))</f>
        <v>$G$1234</v>
      </c>
      <c r="J1231" s="97">
        <f aca="true" t="array" ref="J1231">MATCH(TRUE,ISBLANK(G1231:G1253),0)</f>
        <v>4</v>
      </c>
      <c r="K1231" s="97">
        <f>J1231-3</f>
        <v>1</v>
      </c>
      <c r="L1231" s="97"/>
      <c r="M1231" s="97"/>
      <c r="N1231" s="97"/>
      <c r="O1231" s="97"/>
      <c r="P1231" s="97"/>
      <c r="Q1231" s="97"/>
      <c r="R1231" s="97"/>
    </row>
    <row r="1232" spans="1:18" ht="15" customHeight="1">
      <c r="A1232" s="299" t="s">
        <v>268</v>
      </c>
      <c r="B1232" s="299"/>
      <c r="C1232" s="300" t="s">
        <v>143</v>
      </c>
      <c r="D1232" s="44" t="s">
        <v>31</v>
      </c>
      <c r="E1232" s="44">
        <v>0.154</v>
      </c>
      <c r="G1232" s="100" t="str">
        <f>CONCATENATE(D1232," - ",E1232,", ")</f>
        <v>Misc. Alumn. Scrap - 0.154, </v>
      </c>
      <c r="H1232" s="297"/>
      <c r="I1232" s="97" t="str">
        <f ca="1">IF(J1231&gt;=3,(MID(I1231,2,1)&amp;MID(I1231,4,4)-K1231),CELL("address",Z1232))</f>
        <v>G1233</v>
      </c>
      <c r="J1232" s="97" t="str">
        <f ca="1">IF(J1231&gt;=4,(MID(I1232,1,1)&amp;MID(I1232,2,4)+1),CELL("address",AA1232))</f>
        <v>G1234</v>
      </c>
      <c r="K1232" s="97" t="str">
        <f ca="1">IF(J1231&gt;=5,(MID(J1232,1,1)&amp;MID(J1232,2,4)+1),CELL("address",AB1232))</f>
        <v>$AB$1232</v>
      </c>
      <c r="L1232" s="97" t="str">
        <f ca="1">IF(J1231&gt;=6,(MID(K1232,1,1)&amp;MID(K1232,2,4)+1),CELL("address",AC1232))</f>
        <v>$AC$1232</v>
      </c>
      <c r="M1232" s="97" t="str">
        <f ca="1">IF(J1231&gt;=7,(MID(L1232,1,1)&amp;MID(L1232,2,4)+1),CELL("address",AD1232))</f>
        <v>$AD$1232</v>
      </c>
      <c r="N1232" s="97" t="str">
        <f ca="1">IF(J1231&gt;=8,(MID(M1232,1,1)&amp;MID(M1232,2,4)+1),CELL("address",AE1232))</f>
        <v>$AE$1232</v>
      </c>
      <c r="O1232" s="97" t="str">
        <f ca="1">IF(J1231&gt;=9,(MID(N1232,1,1)&amp;MID(N1232,2,4)+1),CELL("address",AF1232))</f>
        <v>$AF$1232</v>
      </c>
      <c r="P1232" s="97" t="str">
        <f ca="1">IF(J1231&gt;=10,(MID(O1232,1,1)&amp;MID(O1232,2,4)+1),CELL("address",AG1232))</f>
        <v>$AG$1232</v>
      </c>
      <c r="Q1232" s="97" t="str">
        <f ca="1">IF(J1231&gt;=11,(MID(P1232,1,1)&amp;MID(P1232,2,4)+1),CELL("address",AH1232))</f>
        <v>$AH$1232</v>
      </c>
      <c r="R1232" s="97" t="str">
        <f ca="1">IF(J1231&gt;=12,(MID(Q1232,1,1)&amp;MID(Q1232,2,4)+1),CELL("address",AI1232))</f>
        <v>$AI$1232</v>
      </c>
    </row>
    <row r="1233" spans="1:8" ht="15" customHeight="1">
      <c r="A1233" s="299"/>
      <c r="B1233" s="299"/>
      <c r="C1233" s="300"/>
      <c r="D1233" s="39" t="s">
        <v>37</v>
      </c>
      <c r="E1233" s="63">
        <v>0.136</v>
      </c>
      <c r="G1233" s="100" t="str">
        <f>CONCATENATE(D1233," - ",E1233,", ")</f>
        <v>Burnt Cu scrap - 0.136, </v>
      </c>
      <c r="H1233" s="1"/>
    </row>
    <row r="1234" spans="1:8" ht="15" customHeight="1">
      <c r="A1234" s="1"/>
      <c r="B1234" s="1"/>
      <c r="C1234" s="1"/>
      <c r="D1234" s="1"/>
      <c r="E1234" s="1"/>
      <c r="H1234" s="1"/>
    </row>
    <row r="1235" spans="1:8" ht="15" customHeight="1">
      <c r="A1235" s="310"/>
      <c r="B1235" s="311"/>
      <c r="C1235" s="65"/>
      <c r="D1235" s="65"/>
      <c r="E1235" s="117">
        <f>SUM(E1237:E1239)</f>
        <v>0.277</v>
      </c>
      <c r="H1235" s="1"/>
    </row>
    <row r="1236" spans="1:18" ht="15" customHeight="1">
      <c r="A1236" s="299" t="s">
        <v>5</v>
      </c>
      <c r="B1236" s="299"/>
      <c r="C1236" s="63" t="s">
        <v>17</v>
      </c>
      <c r="D1236" s="64" t="s">
        <v>18</v>
      </c>
      <c r="E1236" s="67" t="s">
        <v>7</v>
      </c>
      <c r="G1236" s="166" t="str">
        <f>CONCATENATE("Misc. Healthy parts/ Non Ferrous  Scrap, Lying at ",C1237,". Quantity in MT - ")</f>
        <v>Misc. Healthy parts/ Non Ferrous  Scrap, Lying at TRY Kotkapura. Quantity in MT - </v>
      </c>
      <c r="H1236" s="297" t="str">
        <f ca="1">CONCATENATE(G1236,G1237,(INDIRECT(I1237)),(INDIRECT(J1237)),(INDIRECT(K1237)),(INDIRECT(L1237)),(INDIRECT(M1237)),(INDIRECT(N1237)),(INDIRECT(O1237)),(INDIRECT(P1237)),(INDIRECT(Q1237)),(INDIRECT(R1237)),".")</f>
        <v>Misc. Healthy parts/ Non Ferrous  Scrap, Lying at TRY Kotkapura. Quantity in MT - Misc. Alumn. Scrap - 0.055, Iron scrap - 0.058, Brass scrap - 0.164, .</v>
      </c>
      <c r="I1236" s="97" t="str">
        <f aca="true" ca="1" t="array" ref="I1236">CELL("address",INDEX(G1236:G1258,MATCH(TRUE,ISBLANK(G1236:G1258),0)))</f>
        <v>$G$1240</v>
      </c>
      <c r="J1236" s="97">
        <f aca="true" t="array" ref="J1236">MATCH(TRUE,ISBLANK(G1236:G1258),0)</f>
        <v>5</v>
      </c>
      <c r="K1236" s="97">
        <f>J1236-3</f>
        <v>2</v>
      </c>
      <c r="L1236" s="97"/>
      <c r="M1236" s="97"/>
      <c r="N1236" s="97"/>
      <c r="O1236" s="97"/>
      <c r="P1236" s="97"/>
      <c r="Q1236" s="97"/>
      <c r="R1236" s="97"/>
    </row>
    <row r="1237" spans="1:18" ht="15" customHeight="1">
      <c r="A1237" s="299" t="s">
        <v>367</v>
      </c>
      <c r="B1237" s="299"/>
      <c r="C1237" s="300" t="s">
        <v>245</v>
      </c>
      <c r="D1237" s="44" t="s">
        <v>31</v>
      </c>
      <c r="E1237" s="67">
        <v>0.055</v>
      </c>
      <c r="G1237" s="100" t="str">
        <f>CONCATENATE(D1237," - ",E1237,", ")</f>
        <v>Misc. Alumn. Scrap - 0.055, </v>
      </c>
      <c r="H1237" s="297"/>
      <c r="I1237" s="97" t="str">
        <f ca="1">IF(J1236&gt;=3,(MID(I1236,2,1)&amp;MID(I1236,4,4)-K1236),CELL("address",Z1237))</f>
        <v>G1238</v>
      </c>
      <c r="J1237" s="97" t="str">
        <f ca="1">IF(J1236&gt;=4,(MID(I1237,1,1)&amp;MID(I1237,2,4)+1),CELL("address",AA1237))</f>
        <v>G1239</v>
      </c>
      <c r="K1237" s="97" t="str">
        <f ca="1">IF(J1236&gt;=5,(MID(J1237,1,1)&amp;MID(J1237,2,4)+1),CELL("address",AB1237))</f>
        <v>G1240</v>
      </c>
      <c r="L1237" s="97" t="str">
        <f ca="1">IF(J1236&gt;=6,(MID(K1237,1,1)&amp;MID(K1237,2,4)+1),CELL("address",AC1237))</f>
        <v>$AC$1237</v>
      </c>
      <c r="M1237" s="97" t="str">
        <f ca="1">IF(J1236&gt;=7,(MID(L1237,1,1)&amp;MID(L1237,2,4)+1),CELL("address",AD1237))</f>
        <v>$AD$1237</v>
      </c>
      <c r="N1237" s="97" t="str">
        <f ca="1">IF(J1236&gt;=8,(MID(M1237,1,1)&amp;MID(M1237,2,4)+1),CELL("address",AE1237))</f>
        <v>$AE$1237</v>
      </c>
      <c r="O1237" s="97" t="str">
        <f ca="1">IF(J1236&gt;=9,(MID(N1237,1,1)&amp;MID(N1237,2,4)+1),CELL("address",AF1237))</f>
        <v>$AF$1237</v>
      </c>
      <c r="P1237" s="97" t="str">
        <f ca="1">IF(J1236&gt;=10,(MID(O1237,1,1)&amp;MID(O1237,2,4)+1),CELL("address",AG1237))</f>
        <v>$AG$1237</v>
      </c>
      <c r="Q1237" s="97" t="str">
        <f ca="1">IF(J1236&gt;=11,(MID(P1237,1,1)&amp;MID(P1237,2,4)+1),CELL("address",AH1237))</f>
        <v>$AH$1237</v>
      </c>
      <c r="R1237" s="97" t="str">
        <f ca="1">IF(J1236&gt;=12,(MID(Q1237,1,1)&amp;MID(Q1237,2,4)+1),CELL("address",AI1237))</f>
        <v>$AI$1237</v>
      </c>
    </row>
    <row r="1238" spans="1:8" ht="15" customHeight="1">
      <c r="A1238" s="299"/>
      <c r="B1238" s="299"/>
      <c r="C1238" s="300"/>
      <c r="D1238" s="39" t="s">
        <v>27</v>
      </c>
      <c r="E1238" s="67">
        <v>0.058</v>
      </c>
      <c r="G1238" s="100" t="str">
        <f>CONCATENATE(D1238," - ",E1238,", ")</f>
        <v>Iron scrap - 0.058, </v>
      </c>
      <c r="H1238" s="1"/>
    </row>
    <row r="1239" spans="1:8" ht="15" customHeight="1">
      <c r="A1239" s="299"/>
      <c r="B1239" s="299"/>
      <c r="C1239" s="300"/>
      <c r="D1239" s="44" t="s">
        <v>23</v>
      </c>
      <c r="E1239" s="63">
        <v>0.164</v>
      </c>
      <c r="G1239" s="100" t="str">
        <f>CONCATENATE(D1239," - ",E1239,", ")</f>
        <v>Brass scrap - 0.164, </v>
      </c>
      <c r="H1239" s="1"/>
    </row>
    <row r="1240" spans="1:8" ht="13.5" customHeight="1">
      <c r="A1240" s="1"/>
      <c r="B1240" s="1"/>
      <c r="C1240" s="1"/>
      <c r="D1240" s="1"/>
      <c r="E1240" s="1"/>
      <c r="H1240" s="1"/>
    </row>
    <row r="1241" spans="1:8" ht="13.5" customHeight="1">
      <c r="A1241" s="310"/>
      <c r="B1241" s="311"/>
      <c r="C1241" s="65"/>
      <c r="D1241" s="65"/>
      <c r="E1241" s="117">
        <f>SUM(E1243:E1244)</f>
        <v>0.007</v>
      </c>
      <c r="H1241" s="1"/>
    </row>
    <row r="1242" spans="1:18" ht="15" customHeight="1">
      <c r="A1242" s="299" t="s">
        <v>5</v>
      </c>
      <c r="B1242" s="299"/>
      <c r="C1242" s="63" t="s">
        <v>17</v>
      </c>
      <c r="D1242" s="64" t="s">
        <v>18</v>
      </c>
      <c r="E1242" s="67" t="s">
        <v>7</v>
      </c>
      <c r="G1242" s="166" t="str">
        <f>CONCATENATE("Misc. Healthy parts/ Non Ferrous  Scrap, Lying at ",C1243,". Quantity in MT - ")</f>
        <v>Misc. Healthy parts/ Non Ferrous  Scrap, Lying at TRY Moga. Quantity in MT - </v>
      </c>
      <c r="H1242" s="297" t="str">
        <f ca="1">CONCATENATE(G1242,G1243,(INDIRECT(I1243)),(INDIRECT(J1243)),(INDIRECT(K1243)),(INDIRECT(L1243)),(INDIRECT(M1243)),(INDIRECT(N1243)),(INDIRECT(O1243)),(INDIRECT(P1243)),(INDIRECT(Q1243)),(INDIRECT(R1243)),".")</f>
        <v>Misc. Healthy parts/ Non Ferrous  Scrap, Lying at TRY Moga. Quantity in MT - Misc. Alumn. Scrap - 0.004, Iron scrap - 0.003, .</v>
      </c>
      <c r="I1242" s="97" t="str">
        <f aca="true" ca="1" t="array" ref="I1242">CELL("address",INDEX(G1242:G1263,MATCH(TRUE,ISBLANK(G1242:G1263),0)))</f>
        <v>$G$1245</v>
      </c>
      <c r="J1242" s="97">
        <f aca="true" t="array" ref="J1242">MATCH(TRUE,ISBLANK(G1242:G1263),0)</f>
        <v>4</v>
      </c>
      <c r="K1242" s="97">
        <f>J1242-3</f>
        <v>1</v>
      </c>
      <c r="L1242" s="97"/>
      <c r="M1242" s="97"/>
      <c r="N1242" s="97"/>
      <c r="O1242" s="97"/>
      <c r="P1242" s="97"/>
      <c r="Q1242" s="97"/>
      <c r="R1242" s="97"/>
    </row>
    <row r="1243" spans="1:18" ht="15" customHeight="1">
      <c r="A1243" s="299" t="s">
        <v>438</v>
      </c>
      <c r="B1243" s="299"/>
      <c r="C1243" s="300" t="s">
        <v>221</v>
      </c>
      <c r="D1243" s="44" t="s">
        <v>31</v>
      </c>
      <c r="E1243" s="118">
        <v>0.004</v>
      </c>
      <c r="G1243" s="100" t="str">
        <f>CONCATENATE(D1243," - ",E1243,", ")</f>
        <v>Misc. Alumn. Scrap - 0.004, </v>
      </c>
      <c r="H1243" s="297"/>
      <c r="I1243" s="97" t="str">
        <f ca="1">IF(J1242&gt;=3,(MID(I1242,2,1)&amp;MID(I1242,4,4)-K1242),CELL("address",Z1243))</f>
        <v>G1244</v>
      </c>
      <c r="J1243" s="97" t="str">
        <f ca="1">IF(J1242&gt;=4,(MID(I1243,1,1)&amp;MID(I1243,2,4)+1),CELL("address",AA1243))</f>
        <v>G1245</v>
      </c>
      <c r="K1243" s="97" t="str">
        <f ca="1">IF(J1242&gt;=5,(MID(J1243,1,1)&amp;MID(J1243,2,4)+1),CELL("address",AB1243))</f>
        <v>$AB$1243</v>
      </c>
      <c r="L1243" s="97" t="str">
        <f ca="1">IF(J1242&gt;=6,(MID(K1243,1,1)&amp;MID(K1243,2,4)+1),CELL("address",AC1243))</f>
        <v>$AC$1243</v>
      </c>
      <c r="M1243" s="97" t="str">
        <f ca="1">IF(J1242&gt;=7,(MID(L1243,1,1)&amp;MID(L1243,2,4)+1),CELL("address",AD1243))</f>
        <v>$AD$1243</v>
      </c>
      <c r="N1243" s="97" t="str">
        <f ca="1">IF(J1242&gt;=8,(MID(M1243,1,1)&amp;MID(M1243,2,4)+1),CELL("address",AE1243))</f>
        <v>$AE$1243</v>
      </c>
      <c r="O1243" s="97" t="str">
        <f ca="1">IF(J1242&gt;=9,(MID(N1243,1,1)&amp;MID(N1243,2,4)+1),CELL("address",AF1243))</f>
        <v>$AF$1243</v>
      </c>
      <c r="P1243" s="97" t="str">
        <f ca="1">IF(J1242&gt;=10,(MID(O1243,1,1)&amp;MID(O1243,2,4)+1),CELL("address",AG1243))</f>
        <v>$AG$1243</v>
      </c>
      <c r="Q1243" s="97" t="str">
        <f ca="1">IF(J1242&gt;=11,(MID(P1243,1,1)&amp;MID(P1243,2,4)+1),CELL("address",AH1243))</f>
        <v>$AH$1243</v>
      </c>
      <c r="R1243" s="97" t="str">
        <f ca="1">IF(J1242&gt;=12,(MID(Q1243,1,1)&amp;MID(Q1243,2,4)+1),CELL("address",AI1243))</f>
        <v>$AI$1243</v>
      </c>
    </row>
    <row r="1244" spans="1:8" ht="15" customHeight="1">
      <c r="A1244" s="299"/>
      <c r="B1244" s="299"/>
      <c r="C1244" s="300"/>
      <c r="D1244" s="39" t="s">
        <v>27</v>
      </c>
      <c r="E1244" s="67">
        <v>0.003</v>
      </c>
      <c r="G1244" s="100" t="str">
        <f>CONCATENATE(D1244," - ",E1244,", ")</f>
        <v>Iron scrap - 0.003, </v>
      </c>
      <c r="H1244" s="1"/>
    </row>
    <row r="1245" spans="1:8" ht="15" customHeight="1">
      <c r="A1245" s="1"/>
      <c r="B1245" s="1"/>
      <c r="C1245" s="1"/>
      <c r="D1245" s="1"/>
      <c r="E1245" s="1"/>
      <c r="H1245" s="1"/>
    </row>
    <row r="1246" spans="1:8" ht="15" customHeight="1">
      <c r="A1246" s="310"/>
      <c r="B1246" s="311"/>
      <c r="C1246" s="65"/>
      <c r="D1246" s="65"/>
      <c r="E1246" s="117">
        <f>SUM(E1248:E1249)</f>
        <v>0.099</v>
      </c>
      <c r="H1246" s="1"/>
    </row>
    <row r="1247" spans="1:18" ht="15" customHeight="1">
      <c r="A1247" s="299" t="s">
        <v>5</v>
      </c>
      <c r="B1247" s="299"/>
      <c r="C1247" s="63" t="s">
        <v>17</v>
      </c>
      <c r="D1247" s="64" t="s">
        <v>18</v>
      </c>
      <c r="E1247" s="67" t="s">
        <v>7</v>
      </c>
      <c r="G1247" s="166" t="str">
        <f>CONCATENATE("Misc. Healthy parts/ Non Ferrous  Scrap, Lying at ",C1248,". Quantity in MT - ")</f>
        <v>Misc. Healthy parts/ Non Ferrous  Scrap, Lying at OL Nabha. Quantity in MT - </v>
      </c>
      <c r="H1247" s="297" t="str">
        <f ca="1">CONCATENATE(G1247,G1248,(INDIRECT(I1248)),(INDIRECT(J1248)),(INDIRECT(K1248)),(INDIRECT(L1248)),(INDIRECT(M1248)),(INDIRECT(N1248)),(INDIRECT(O1248)),(INDIRECT(P1248)),(INDIRECT(Q1248)),(INDIRECT(R1248)),".")</f>
        <v>Misc. Healthy parts/ Non Ferrous  Scrap, Lying at OL Nabha. Quantity in MT - Misc. Alumn. Scrap - 0.007, Misc. copper scrap - 0.092, .</v>
      </c>
      <c r="I1247" s="97" t="str">
        <f aca="true" ca="1" t="array" ref="I1247">CELL("address",INDEX(G1247:G1263,MATCH(TRUE,ISBLANK(G1247:G1263),0)))</f>
        <v>$G$1250</v>
      </c>
      <c r="J1247" s="97">
        <f aca="true" t="array" ref="J1247">MATCH(TRUE,ISBLANK(G1247:G1263),0)</f>
        <v>4</v>
      </c>
      <c r="K1247" s="97">
        <f>J1247-3</f>
        <v>1</v>
      </c>
      <c r="L1247" s="97"/>
      <c r="M1247" s="97"/>
      <c r="N1247" s="97"/>
      <c r="O1247" s="97"/>
      <c r="P1247" s="97"/>
      <c r="Q1247" s="97"/>
      <c r="R1247" s="97"/>
    </row>
    <row r="1248" spans="1:18" ht="15" customHeight="1">
      <c r="A1248" s="299" t="s">
        <v>503</v>
      </c>
      <c r="B1248" s="299"/>
      <c r="C1248" s="300" t="s">
        <v>104</v>
      </c>
      <c r="D1248" s="44" t="s">
        <v>31</v>
      </c>
      <c r="E1248" s="118">
        <v>0.007</v>
      </c>
      <c r="G1248" s="100" t="str">
        <f>CONCATENATE(D1248," - ",E1248,", ")</f>
        <v>Misc. Alumn. Scrap - 0.007, </v>
      </c>
      <c r="H1248" s="297"/>
      <c r="I1248" s="97" t="str">
        <f ca="1">IF(J1247&gt;=3,(MID(I1247,2,1)&amp;MID(I1247,4,4)-K1247),CELL("address",Z1248))</f>
        <v>G1249</v>
      </c>
      <c r="J1248" s="97" t="str">
        <f ca="1">IF(J1247&gt;=4,(MID(I1248,1,1)&amp;MID(I1248,2,4)+1),CELL("address",AA1248))</f>
        <v>G1250</v>
      </c>
      <c r="K1248" s="97" t="str">
        <f ca="1">IF(J1247&gt;=5,(MID(J1248,1,1)&amp;MID(J1248,2,4)+1),CELL("address",AB1248))</f>
        <v>$AB$1248</v>
      </c>
      <c r="L1248" s="97" t="str">
        <f ca="1">IF(J1247&gt;=6,(MID(K1248,1,1)&amp;MID(K1248,2,4)+1),CELL("address",AC1248))</f>
        <v>$AC$1248</v>
      </c>
      <c r="M1248" s="97" t="str">
        <f ca="1">IF(J1247&gt;=7,(MID(L1248,1,1)&amp;MID(L1248,2,4)+1),CELL("address",AD1248))</f>
        <v>$AD$1248</v>
      </c>
      <c r="N1248" s="97" t="str">
        <f ca="1">IF(J1247&gt;=8,(MID(M1248,1,1)&amp;MID(M1248,2,4)+1),CELL("address",AE1248))</f>
        <v>$AE$1248</v>
      </c>
      <c r="O1248" s="97" t="str">
        <f ca="1">IF(J1247&gt;=9,(MID(N1248,1,1)&amp;MID(N1248,2,4)+1),CELL("address",AF1248))</f>
        <v>$AF$1248</v>
      </c>
      <c r="P1248" s="97" t="str">
        <f ca="1">IF(J1247&gt;=10,(MID(O1248,1,1)&amp;MID(O1248,2,4)+1),CELL("address",AG1248))</f>
        <v>$AG$1248</v>
      </c>
      <c r="Q1248" s="97" t="str">
        <f ca="1">IF(J1247&gt;=11,(MID(P1248,1,1)&amp;MID(P1248,2,4)+1),CELL("address",AH1248))</f>
        <v>$AH$1248</v>
      </c>
      <c r="R1248" s="97" t="str">
        <f ca="1">IF(J1247&gt;=12,(MID(Q1248,1,1)&amp;MID(Q1248,2,4)+1),CELL("address",AI1248))</f>
        <v>$AI$1248</v>
      </c>
    </row>
    <row r="1249" spans="1:8" ht="15" customHeight="1">
      <c r="A1249" s="299"/>
      <c r="B1249" s="299"/>
      <c r="C1249" s="300"/>
      <c r="D1249" s="59" t="s">
        <v>111</v>
      </c>
      <c r="E1249" s="67">
        <v>0.092</v>
      </c>
      <c r="G1249" s="100" t="str">
        <f>CONCATENATE(D1249," - ",E1249,", ")</f>
        <v>Misc. copper scrap - 0.092, </v>
      </c>
      <c r="H1249" s="1"/>
    </row>
    <row r="1250" spans="1:8" ht="15" customHeight="1">
      <c r="A1250" s="1"/>
      <c r="B1250" s="1"/>
      <c r="C1250" s="1"/>
      <c r="D1250" s="1"/>
      <c r="E1250" s="1"/>
      <c r="H1250" s="1"/>
    </row>
    <row r="1251" spans="1:8" ht="15" customHeight="1">
      <c r="A1251" s="310"/>
      <c r="B1251" s="311"/>
      <c r="C1251" s="65"/>
      <c r="D1251" s="65"/>
      <c r="E1251" s="66">
        <f>SUM(E1253:E1253)</f>
        <v>2</v>
      </c>
      <c r="H1251" s="1"/>
    </row>
    <row r="1252" spans="1:18" ht="15" customHeight="1">
      <c r="A1252" s="299" t="s">
        <v>5</v>
      </c>
      <c r="B1252" s="299"/>
      <c r="C1252" s="63" t="s">
        <v>17</v>
      </c>
      <c r="D1252" s="64" t="s">
        <v>18</v>
      </c>
      <c r="E1252" s="63" t="s">
        <v>7</v>
      </c>
      <c r="G1252" s="166" t="str">
        <f>CONCATENATE("Misc. Healthy parts/ Non Ferrous  Scrap, Lying at ",C1253,". Quantity in MT - ")</f>
        <v>Misc. Healthy parts/ Non Ferrous  Scrap, Lying at TRY Malerkotla. Quantity in MT - </v>
      </c>
      <c r="H1252" s="297" t="str">
        <f ca="1">CONCATENATE(G1252,G1253,(INDIRECT(I1253)),(INDIRECT(J1253)),(INDIRECT(K1253)),(INDIRECT(L1253)),(INDIRECT(M1253)),(INDIRECT(N1253)),(INDIRECT(O1253)),(INDIRECT(P1253)),(INDIRECT(Q1253)),(INDIRECT(R1253)),".")</f>
        <v>Misc. Healthy parts/ Non Ferrous  Scrap, Lying at TRY Malerkotla. Quantity in MT - Brass scrap - 2, .</v>
      </c>
      <c r="I1252" s="97" t="str">
        <f aca="true" ca="1" t="array" ref="I1252">CELL("address",INDEX(G1252:G1268,MATCH(TRUE,ISBLANK(G1252:G1268),0)))</f>
        <v>$G$1254</v>
      </c>
      <c r="J1252" s="97">
        <f aca="true" t="array" ref="J1252">MATCH(TRUE,ISBLANK(G1252:G1268),0)</f>
        <v>3</v>
      </c>
      <c r="K1252" s="97">
        <f>J1252-3</f>
        <v>0</v>
      </c>
      <c r="L1252" s="97"/>
      <c r="M1252" s="97"/>
      <c r="N1252" s="97"/>
      <c r="O1252" s="97"/>
      <c r="P1252" s="97"/>
      <c r="Q1252" s="97"/>
      <c r="R1252" s="97"/>
    </row>
    <row r="1253" spans="1:24" ht="15" customHeight="1">
      <c r="A1253" s="299" t="s">
        <v>504</v>
      </c>
      <c r="B1253" s="299"/>
      <c r="C1253" s="250" t="s">
        <v>28</v>
      </c>
      <c r="D1253" s="44" t="s">
        <v>23</v>
      </c>
      <c r="E1253" s="46">
        <v>2</v>
      </c>
      <c r="G1253" s="100" t="str">
        <f>CONCATENATE(D1253," - ",E1253,", ")</f>
        <v>Brass scrap - 2, </v>
      </c>
      <c r="H1253" s="297"/>
      <c r="I1253" s="97" t="str">
        <f ca="1">IF(J1252&gt;=3,(MID(I1252,2,1)&amp;MID(I1252,4,4)-K1252),CELL("address",Z1253))</f>
        <v>G1254</v>
      </c>
      <c r="J1253" s="97" t="str">
        <f ca="1">IF(J1252&gt;=4,(MID(I1253,1,1)&amp;MID(I1253,2,4)+1),CELL("address",AA1253))</f>
        <v>$AA$1253</v>
      </c>
      <c r="K1253" s="97" t="str">
        <f ca="1">IF(J1252&gt;=5,(MID(J1253,1,1)&amp;MID(J1253,2,4)+1),CELL("address",AB1253))</f>
        <v>$AB$1253</v>
      </c>
      <c r="L1253" s="97" t="str">
        <f ca="1">IF(J1252&gt;=6,(MID(K1253,1,1)&amp;MID(K1253,2,4)+1),CELL("address",AC1253))</f>
        <v>$AC$1253</v>
      </c>
      <c r="M1253" s="97" t="str">
        <f ca="1">IF(J1252&gt;=7,(MID(L1253,1,1)&amp;MID(L1253,2,4)+1),CELL("address",AD1253))</f>
        <v>$AD$1253</v>
      </c>
      <c r="N1253" s="97" t="str">
        <f ca="1">IF(J1252&gt;=8,(MID(M1253,1,1)&amp;MID(M1253,2,4)+1),CELL("address",AE1253))</f>
        <v>$AE$1253</v>
      </c>
      <c r="O1253" s="97" t="str">
        <f ca="1">IF(J1252&gt;=9,(MID(N1253,1,1)&amp;MID(N1253,2,4)+1),CELL("address",AF1253))</f>
        <v>$AF$1253</v>
      </c>
      <c r="P1253" s="97" t="str">
        <f ca="1">IF(J1252&gt;=10,(MID(O1253,1,1)&amp;MID(O1253,2,4)+1),CELL("address",AG1253))</f>
        <v>$AG$1253</v>
      </c>
      <c r="Q1253" s="97" t="str">
        <f ca="1">IF(J1252&gt;=11,(MID(P1253,1,1)&amp;MID(P1253,2,4)+1),CELL("address",AH1253))</f>
        <v>$AH$1253</v>
      </c>
      <c r="R1253" s="97" t="str">
        <f ca="1">IF(J1252&gt;=12,(MID(Q1253,1,1)&amp;MID(Q1253,2,4)+1),CELL("address",AI1253))</f>
        <v>$AI$1253</v>
      </c>
      <c r="T1253" s="334" t="s">
        <v>510</v>
      </c>
      <c r="U1253" s="334"/>
      <c r="V1253" s="334"/>
      <c r="W1253" s="334"/>
      <c r="X1253" s="334"/>
    </row>
    <row r="1254" spans="1:8" ht="15" customHeight="1">
      <c r="A1254" s="1"/>
      <c r="B1254" s="1"/>
      <c r="C1254" s="1"/>
      <c r="D1254" s="1"/>
      <c r="E1254" s="1"/>
      <c r="H1254" s="1"/>
    </row>
    <row r="1255" spans="1:8" ht="15" customHeight="1">
      <c r="A1255" s="310"/>
      <c r="B1255" s="311"/>
      <c r="C1255" s="65"/>
      <c r="D1255" s="65"/>
      <c r="E1255" s="66">
        <f>SUM(E1257:E1259)</f>
        <v>2.169</v>
      </c>
      <c r="H1255" s="1"/>
    </row>
    <row r="1256" spans="1:18" ht="15" customHeight="1">
      <c r="A1256" s="299" t="s">
        <v>5</v>
      </c>
      <c r="B1256" s="299"/>
      <c r="C1256" s="63" t="s">
        <v>17</v>
      </c>
      <c r="D1256" s="64" t="s">
        <v>18</v>
      </c>
      <c r="E1256" s="63" t="s">
        <v>7</v>
      </c>
      <c r="G1256" s="166" t="str">
        <f>CONCATENATE("Misc. Healthy parts/ Non Ferrous  Scrap, Lying at ",C1257,". Quantity in MT - ")</f>
        <v>Misc. Healthy parts/ Non Ferrous  Scrap, Lying at TRY Malout. Quantity in MT - </v>
      </c>
      <c r="H1256" s="297" t="str">
        <f ca="1">CONCATENATE(G1256,G1257,(INDIRECT(I1257)),(INDIRECT(J1257)),(INDIRECT(K1257)),(INDIRECT(L1257)),(INDIRECT(M1257)),(INDIRECT(N1257)),(INDIRECT(O1257)),(INDIRECT(P1257)),(INDIRECT(Q1257)),(INDIRECT(R1257)),".")</f>
        <v>Misc. Healthy parts/ Non Ferrous  Scrap, Lying at TRY Malout. Quantity in MT - Brass scrap - 1.939, Misc. Alumn. Scrap - 0.205, Iron scrap - 0.025, .</v>
      </c>
      <c r="I1256" s="97" t="str">
        <f aca="true" ca="1" t="array" ref="I1256">CELL("address",INDEX(G1256:G1271,MATCH(TRUE,ISBLANK(G1256:G1271),0)))</f>
        <v>$G$1260</v>
      </c>
      <c r="J1256" s="97">
        <f aca="true" t="array" ref="J1256">MATCH(TRUE,ISBLANK(G1256:G1271),0)</f>
        <v>5</v>
      </c>
      <c r="K1256" s="97">
        <f>J1256-3</f>
        <v>2</v>
      </c>
      <c r="L1256" s="97"/>
      <c r="M1256" s="97"/>
      <c r="N1256" s="97"/>
      <c r="O1256" s="97"/>
      <c r="P1256" s="97"/>
      <c r="Q1256" s="97"/>
      <c r="R1256" s="97"/>
    </row>
    <row r="1257" spans="1:18" ht="15" customHeight="1">
      <c r="A1257" s="299" t="s">
        <v>505</v>
      </c>
      <c r="B1257" s="299"/>
      <c r="C1257" s="300" t="s">
        <v>164</v>
      </c>
      <c r="D1257" s="44" t="s">
        <v>23</v>
      </c>
      <c r="E1257" s="46">
        <v>1.939</v>
      </c>
      <c r="G1257" s="100" t="str">
        <f>CONCATENATE(D1257," - ",E1257,", ")</f>
        <v>Brass scrap - 1.939, </v>
      </c>
      <c r="H1257" s="297"/>
      <c r="I1257" s="97" t="str">
        <f ca="1">IF(J1256&gt;=3,(MID(I1256,2,1)&amp;MID(I1256,4,4)-K1256),CELL("address",Z1257))</f>
        <v>G1258</v>
      </c>
      <c r="J1257" s="97" t="str">
        <f ca="1">IF(J1256&gt;=4,(MID(I1257,1,1)&amp;MID(I1257,2,4)+1),CELL("address",AA1257))</f>
        <v>G1259</v>
      </c>
      <c r="K1257" s="97" t="str">
        <f ca="1">IF(J1256&gt;=5,(MID(J1257,1,1)&amp;MID(J1257,2,4)+1),CELL("address",AB1257))</f>
        <v>G1260</v>
      </c>
      <c r="L1257" s="97" t="str">
        <f ca="1">IF(J1256&gt;=6,(MID(K1257,1,1)&amp;MID(K1257,2,4)+1),CELL("address",AC1257))</f>
        <v>$AC$1257</v>
      </c>
      <c r="M1257" s="97" t="str">
        <f ca="1">IF(J1256&gt;=7,(MID(L1257,1,1)&amp;MID(L1257,2,4)+1),CELL("address",AD1257))</f>
        <v>$AD$1257</v>
      </c>
      <c r="N1257" s="97" t="str">
        <f ca="1">IF(J1256&gt;=8,(MID(M1257,1,1)&amp;MID(M1257,2,4)+1),CELL("address",AE1257))</f>
        <v>$AE$1257</v>
      </c>
      <c r="O1257" s="97" t="str">
        <f ca="1">IF(J1256&gt;=9,(MID(N1257,1,1)&amp;MID(N1257,2,4)+1),CELL("address",AF1257))</f>
        <v>$AF$1257</v>
      </c>
      <c r="P1257" s="97" t="str">
        <f ca="1">IF(J1256&gt;=10,(MID(O1257,1,1)&amp;MID(O1257,2,4)+1),CELL("address",AG1257))</f>
        <v>$AG$1257</v>
      </c>
      <c r="Q1257" s="97" t="str">
        <f ca="1">IF(J1256&gt;=11,(MID(P1257,1,1)&amp;MID(P1257,2,4)+1),CELL("address",AH1257))</f>
        <v>$AH$1257</v>
      </c>
      <c r="R1257" s="97" t="str">
        <f ca="1">IF(J1256&gt;=12,(MID(Q1257,1,1)&amp;MID(Q1257,2,4)+1),CELL("address",AI1257))</f>
        <v>$AI$1257</v>
      </c>
    </row>
    <row r="1258" spans="1:8" ht="15" customHeight="1">
      <c r="A1258" s="299"/>
      <c r="B1258" s="299"/>
      <c r="C1258" s="300"/>
      <c r="D1258" s="44" t="s">
        <v>31</v>
      </c>
      <c r="E1258" s="265">
        <v>0.205</v>
      </c>
      <c r="G1258" s="100" t="str">
        <f>CONCATENATE(D1258," - ",E1258,", ")</f>
        <v>Misc. Alumn. Scrap - 0.205, </v>
      </c>
      <c r="H1258" s="1"/>
    </row>
    <row r="1259" spans="1:8" ht="15" customHeight="1">
      <c r="A1259" s="299"/>
      <c r="B1259" s="299"/>
      <c r="C1259" s="300"/>
      <c r="D1259" s="39" t="s">
        <v>27</v>
      </c>
      <c r="E1259" s="265">
        <v>0.025</v>
      </c>
      <c r="G1259" s="100" t="str">
        <f>CONCATENATE(D1259," - ",E1259,", ")</f>
        <v>Iron scrap - 0.025, </v>
      </c>
      <c r="H1259" s="1"/>
    </row>
    <row r="1260" spans="1:8" ht="15" customHeight="1">
      <c r="A1260" s="1"/>
      <c r="B1260" s="1"/>
      <c r="C1260" s="1"/>
      <c r="D1260" s="1"/>
      <c r="E1260" s="1"/>
      <c r="H1260" s="1"/>
    </row>
    <row r="1261" spans="1:8" ht="15.75" customHeight="1">
      <c r="A1261" s="310"/>
      <c r="B1261" s="311"/>
      <c r="C1261" s="65"/>
      <c r="D1261" s="65"/>
      <c r="E1261" s="66">
        <f>SUM(E1263:E1263)</f>
        <v>0.008</v>
      </c>
      <c r="H1261" s="1"/>
    </row>
    <row r="1262" spans="1:18" ht="15.75" customHeight="1">
      <c r="A1262" s="299" t="s">
        <v>5</v>
      </c>
      <c r="B1262" s="299"/>
      <c r="C1262" s="63" t="s">
        <v>17</v>
      </c>
      <c r="D1262" s="64" t="s">
        <v>18</v>
      </c>
      <c r="E1262" s="63" t="s">
        <v>7</v>
      </c>
      <c r="G1262" s="166" t="str">
        <f>CONCATENATE("Misc. Healthy parts/ Non Ferrous  Scrap, Lying at ",C1263,". Quantity in MT - ")</f>
        <v>Misc. Healthy parts/ Non Ferrous  Scrap, Lying at CS Sangrur. Quantity in MT - </v>
      </c>
      <c r="H1262" s="297" t="str">
        <f ca="1">CONCATENATE(G1262,G1263,(INDIRECT(I1263)),(INDIRECT(J1263)),(INDIRECT(K1263)),(INDIRECT(L1263)),(INDIRECT(M1263)),(INDIRECT(N1263)),(INDIRECT(O1263)),(INDIRECT(P1263)),(INDIRECT(Q1263)),(INDIRECT(R1263)),".")</f>
        <v>Misc. Healthy parts/ Non Ferrous  Scrap, Lying at CS Sangrur. Quantity in MT - Misc. copper scrap - 0.008, .</v>
      </c>
      <c r="I1262" s="97" t="str">
        <f aca="true" ca="1" t="array" ref="I1262">CELL("address",INDEX(G1262:G1277,MATCH(TRUE,ISBLANK(G1262:G1277),0)))</f>
        <v>$G$1264</v>
      </c>
      <c r="J1262" s="97">
        <f aca="true" t="array" ref="J1262">MATCH(TRUE,ISBLANK(G1262:G1277),0)</f>
        <v>3</v>
      </c>
      <c r="K1262" s="97">
        <f>J1262-3</f>
        <v>0</v>
      </c>
      <c r="L1262" s="97"/>
      <c r="M1262" s="97"/>
      <c r="N1262" s="97"/>
      <c r="O1262" s="97"/>
      <c r="P1262" s="97"/>
      <c r="Q1262" s="97"/>
      <c r="R1262" s="97"/>
    </row>
    <row r="1263" spans="1:18" ht="15.75" customHeight="1">
      <c r="A1263" s="299" t="s">
        <v>509</v>
      </c>
      <c r="B1263" s="299"/>
      <c r="C1263" s="250" t="s">
        <v>79</v>
      </c>
      <c r="D1263" s="44" t="s">
        <v>111</v>
      </c>
      <c r="E1263" s="46">
        <v>0.008</v>
      </c>
      <c r="G1263" s="100" t="str">
        <f>CONCATENATE(D1263," - ",E1263,", ")</f>
        <v>Misc. copper scrap - 0.008, </v>
      </c>
      <c r="H1263" s="297"/>
      <c r="I1263" s="97" t="str">
        <f ca="1">IF(J1262&gt;=3,(MID(I1262,2,1)&amp;MID(I1262,4,4)-K1262),CELL("address",Z1263))</f>
        <v>G1264</v>
      </c>
      <c r="J1263" s="97" t="str">
        <f ca="1">IF(J1262&gt;=4,(MID(I1263,1,1)&amp;MID(I1263,2,4)+1),CELL("address",AA1263))</f>
        <v>$AA$1263</v>
      </c>
      <c r="K1263" s="97" t="str">
        <f ca="1">IF(J1262&gt;=5,(MID(J1263,1,1)&amp;MID(J1263,2,4)+1),CELL("address",AB1263))</f>
        <v>$AB$1263</v>
      </c>
      <c r="L1263" s="97" t="str">
        <f ca="1">IF(J1262&gt;=6,(MID(K1263,1,1)&amp;MID(K1263,2,4)+1),CELL("address",AC1263))</f>
        <v>$AC$1263</v>
      </c>
      <c r="M1263" s="97" t="str">
        <f ca="1">IF(J1262&gt;=7,(MID(L1263,1,1)&amp;MID(L1263,2,4)+1),CELL("address",AD1263))</f>
        <v>$AD$1263</v>
      </c>
      <c r="N1263" s="97" t="str">
        <f ca="1">IF(J1262&gt;=8,(MID(M1263,1,1)&amp;MID(M1263,2,4)+1),CELL("address",AE1263))</f>
        <v>$AE$1263</v>
      </c>
      <c r="O1263" s="97" t="str">
        <f ca="1">IF(J1262&gt;=9,(MID(N1263,1,1)&amp;MID(N1263,2,4)+1),CELL("address",AF1263))</f>
        <v>$AF$1263</v>
      </c>
      <c r="P1263" s="97" t="str">
        <f ca="1">IF(J1262&gt;=10,(MID(O1263,1,1)&amp;MID(O1263,2,4)+1),CELL("address",AG1263))</f>
        <v>$AG$1263</v>
      </c>
      <c r="Q1263" s="97" t="str">
        <f ca="1">IF(J1262&gt;=11,(MID(P1263,1,1)&amp;MID(P1263,2,4)+1),CELL("address",AH1263))</f>
        <v>$AH$1263</v>
      </c>
      <c r="R1263" s="97" t="str">
        <f ca="1">IF(J1262&gt;=12,(MID(Q1263,1,1)&amp;MID(Q1263,2,4)+1),CELL("address",AI1263))</f>
        <v>$AI$1263</v>
      </c>
    </row>
    <row r="1264" spans="1:8" ht="15" customHeight="1">
      <c r="A1264" s="1"/>
      <c r="B1264" s="1"/>
      <c r="C1264" s="1"/>
      <c r="D1264" s="1"/>
      <c r="E1264" s="1"/>
      <c r="H1264" s="1"/>
    </row>
    <row r="1265" spans="1:8" ht="15" customHeight="1">
      <c r="A1265" s="310"/>
      <c r="B1265" s="311"/>
      <c r="C1265" s="65"/>
      <c r="D1265" s="65"/>
      <c r="E1265" s="66">
        <f>SUM(E1267:E1268)</f>
        <v>0.20600000000000002</v>
      </c>
      <c r="H1265" s="1"/>
    </row>
    <row r="1266" spans="1:18" ht="15" customHeight="1">
      <c r="A1266" s="299" t="s">
        <v>5</v>
      </c>
      <c r="B1266" s="299"/>
      <c r="C1266" s="63" t="s">
        <v>17</v>
      </c>
      <c r="D1266" s="64" t="s">
        <v>18</v>
      </c>
      <c r="E1266" s="63" t="s">
        <v>7</v>
      </c>
      <c r="G1266" s="166" t="str">
        <f>CONCATENATE("Misc. Healthy parts/ Non Ferrous  Scrap, Lying at ",C1267,". Quantity in MT - ")</f>
        <v>Misc. Healthy parts/ Non Ferrous  Scrap, Lying at TRY Sangrur. Quantity in MT - </v>
      </c>
      <c r="H1266" s="297" t="str">
        <f ca="1">CONCATENATE(G1266,G1267,(INDIRECT(I1267)),(INDIRECT(J1267)),(INDIRECT(K1267)),(INDIRECT(L1267)),(INDIRECT(M1267)),(INDIRECT(N1267)),(INDIRECT(O1267)),(INDIRECT(P1267)),(INDIRECT(Q1267)),(INDIRECT(R1267)),".")</f>
        <v>Misc. Healthy parts/ Non Ferrous  Scrap, Lying at TRY Sangrur. Quantity in MT - Brass scrap - 0.189, Misc. Alumn. Scrap - 0.017, .</v>
      </c>
      <c r="I1266" s="97" t="str">
        <f aca="true" ca="1" t="array" ref="I1266">CELL("address",INDEX(G1266:G1281,MATCH(TRUE,ISBLANK(G1266:G1281),0)))</f>
        <v>$G$1269</v>
      </c>
      <c r="J1266" s="97">
        <f aca="true" t="array" ref="J1266">MATCH(TRUE,ISBLANK(G1266:G1281),0)</f>
        <v>4</v>
      </c>
      <c r="K1266" s="97">
        <f>J1266-3</f>
        <v>1</v>
      </c>
      <c r="L1266" s="97"/>
      <c r="M1266" s="97"/>
      <c r="N1266" s="97"/>
      <c r="O1266" s="97"/>
      <c r="P1266" s="97"/>
      <c r="Q1266" s="97"/>
      <c r="R1266" s="97"/>
    </row>
    <row r="1267" spans="1:18" ht="15" customHeight="1">
      <c r="A1267" s="299" t="s">
        <v>549</v>
      </c>
      <c r="B1267" s="299"/>
      <c r="C1267" s="300" t="s">
        <v>135</v>
      </c>
      <c r="D1267" s="44" t="s">
        <v>23</v>
      </c>
      <c r="E1267" s="46">
        <v>0.189</v>
      </c>
      <c r="G1267" s="100" t="str">
        <f>CONCATENATE(D1267," - ",E1267,", ")</f>
        <v>Brass scrap - 0.189, </v>
      </c>
      <c r="H1267" s="297"/>
      <c r="I1267" s="97" t="str">
        <f ca="1">IF(J1266&gt;=3,(MID(I1266,2,1)&amp;MID(I1266,4,4)-K1266),CELL("address",Z1267))</f>
        <v>G1268</v>
      </c>
      <c r="J1267" s="97" t="str">
        <f ca="1">IF(J1266&gt;=4,(MID(I1267,1,1)&amp;MID(I1267,2,4)+1),CELL("address",AA1267))</f>
        <v>G1269</v>
      </c>
      <c r="K1267" s="97" t="str">
        <f ca="1">IF(J1266&gt;=5,(MID(J1267,1,1)&amp;MID(J1267,2,4)+1),CELL("address",AB1267))</f>
        <v>$AB$1267</v>
      </c>
      <c r="L1267" s="97" t="str">
        <f ca="1">IF(J1266&gt;=6,(MID(K1267,1,1)&amp;MID(K1267,2,4)+1),CELL("address",AC1267))</f>
        <v>$AC$1267</v>
      </c>
      <c r="M1267" s="97" t="str">
        <f ca="1">IF(J1266&gt;=7,(MID(L1267,1,1)&amp;MID(L1267,2,4)+1),CELL("address",AD1267))</f>
        <v>$AD$1267</v>
      </c>
      <c r="N1267" s="97" t="str">
        <f ca="1">IF(J1266&gt;=8,(MID(M1267,1,1)&amp;MID(M1267,2,4)+1),CELL("address",AE1267))</f>
        <v>$AE$1267</v>
      </c>
      <c r="O1267" s="97" t="str">
        <f ca="1">IF(J1266&gt;=9,(MID(N1267,1,1)&amp;MID(N1267,2,4)+1),CELL("address",AF1267))</f>
        <v>$AF$1267</v>
      </c>
      <c r="P1267" s="97" t="str">
        <f ca="1">IF(J1266&gt;=10,(MID(O1267,1,1)&amp;MID(O1267,2,4)+1),CELL("address",AG1267))</f>
        <v>$AG$1267</v>
      </c>
      <c r="Q1267" s="97" t="str">
        <f ca="1">IF(J1266&gt;=11,(MID(P1267,1,1)&amp;MID(P1267,2,4)+1),CELL("address",AH1267))</f>
        <v>$AH$1267</v>
      </c>
      <c r="R1267" s="97" t="str">
        <f ca="1">IF(J1266&gt;=12,(MID(Q1267,1,1)&amp;MID(Q1267,2,4)+1),CELL("address",AI1267))</f>
        <v>$AI$1267</v>
      </c>
    </row>
    <row r="1268" spans="1:8" ht="15" customHeight="1">
      <c r="A1268" s="299"/>
      <c r="B1268" s="299"/>
      <c r="C1268" s="300"/>
      <c r="D1268" s="44" t="s">
        <v>31</v>
      </c>
      <c r="E1268" s="265">
        <v>0.017</v>
      </c>
      <c r="G1268" s="100" t="str">
        <f>CONCATENATE(D1268," - ",E1268,", ")</f>
        <v>Misc. Alumn. Scrap - 0.017, </v>
      </c>
      <c r="H1268" s="1"/>
    </row>
    <row r="1269" spans="1:8" ht="15" customHeight="1">
      <c r="A1269" s="1"/>
      <c r="B1269" s="1"/>
      <c r="C1269" s="1"/>
      <c r="D1269" s="1"/>
      <c r="E1269" s="1"/>
      <c r="H1269" s="1"/>
    </row>
    <row r="1270" spans="1:8" ht="15" customHeight="1">
      <c r="A1270" s="310"/>
      <c r="B1270" s="311"/>
      <c r="C1270" s="65"/>
      <c r="D1270" s="65"/>
      <c r="E1270" s="66">
        <f>SUM(E1272:E1274)</f>
        <v>0.20600000000000002</v>
      </c>
      <c r="H1270" s="1"/>
    </row>
    <row r="1271" spans="1:18" ht="15" customHeight="1">
      <c r="A1271" s="299" t="s">
        <v>5</v>
      </c>
      <c r="B1271" s="299"/>
      <c r="C1271" s="63" t="s">
        <v>17</v>
      </c>
      <c r="D1271" s="64" t="s">
        <v>18</v>
      </c>
      <c r="E1271" s="63" t="s">
        <v>7</v>
      </c>
      <c r="G1271" s="166" t="str">
        <f>CONCATENATE("Misc. Healthy parts/ Non Ferrous  Scrap, Lying at ",C1272,". Quantity in MT - ")</f>
        <v>Misc. Healthy parts/ Non Ferrous  Scrap, Lying at TRY Barnala. Quantity in MT - </v>
      </c>
      <c r="H1271" s="297" t="str">
        <f ca="1">CONCATENATE(G1271,G1272,(INDIRECT(I1272)),(INDIRECT(J1272)),(INDIRECT(K1272)),(INDIRECT(L1272)),(INDIRECT(M1272)),(INDIRECT(N1272)),(INDIRECT(O1272)),(INDIRECT(P1272)),(INDIRECT(Q1272)),(INDIRECT(R1272)),".")</f>
        <v>Misc. Healthy parts/ Non Ferrous  Scrap, Lying at TRY Barnala. Quantity in MT - Brass scrap - 0.177, Misc. Alumn. Scrap - 0.012, Iron scrap - 0.017, .</v>
      </c>
      <c r="I1271" s="97" t="str">
        <f aca="true" ca="1" t="array" ref="I1271">CELL("address",INDEX(G1271:G1286,MATCH(TRUE,ISBLANK(G1271:G1286),0)))</f>
        <v>$G$1275</v>
      </c>
      <c r="J1271" s="97">
        <f aca="true" t="array" ref="J1271">MATCH(TRUE,ISBLANK(G1271:G1286),0)</f>
        <v>5</v>
      </c>
      <c r="K1271" s="97">
        <f>J1271-3</f>
        <v>2</v>
      </c>
      <c r="L1271" s="97"/>
      <c r="M1271" s="97"/>
      <c r="N1271" s="97"/>
      <c r="O1271" s="97"/>
      <c r="P1271" s="97"/>
      <c r="Q1271" s="97"/>
      <c r="R1271" s="97"/>
    </row>
    <row r="1272" spans="1:18" ht="15" customHeight="1">
      <c r="A1272" s="299" t="s">
        <v>561</v>
      </c>
      <c r="B1272" s="299"/>
      <c r="C1272" s="300" t="s">
        <v>314</v>
      </c>
      <c r="D1272" s="44" t="s">
        <v>23</v>
      </c>
      <c r="E1272" s="46">
        <v>0.177</v>
      </c>
      <c r="G1272" s="100" t="str">
        <f>CONCATENATE(D1272," - ",E1272,", ")</f>
        <v>Brass scrap - 0.177, </v>
      </c>
      <c r="H1272" s="297"/>
      <c r="I1272" s="97" t="str">
        <f ca="1">IF(J1271&gt;=3,(MID(I1271,2,1)&amp;MID(I1271,4,4)-K1271),CELL("address",Z1272))</f>
        <v>G1273</v>
      </c>
      <c r="J1272" s="97" t="str">
        <f ca="1">IF(J1271&gt;=4,(MID(I1272,1,1)&amp;MID(I1272,2,4)+1),CELL("address",AA1272))</f>
        <v>G1274</v>
      </c>
      <c r="K1272" s="97" t="str">
        <f ca="1">IF(J1271&gt;=5,(MID(J1272,1,1)&amp;MID(J1272,2,4)+1),CELL("address",AB1272))</f>
        <v>G1275</v>
      </c>
      <c r="L1272" s="97" t="str">
        <f ca="1">IF(J1271&gt;=6,(MID(K1272,1,1)&amp;MID(K1272,2,4)+1),CELL("address",AC1272))</f>
        <v>$AC$1272</v>
      </c>
      <c r="M1272" s="97" t="str">
        <f ca="1">IF(J1271&gt;=7,(MID(L1272,1,1)&amp;MID(L1272,2,4)+1),CELL("address",AD1272))</f>
        <v>$AD$1272</v>
      </c>
      <c r="N1272" s="97" t="str">
        <f ca="1">IF(J1271&gt;=8,(MID(M1272,1,1)&amp;MID(M1272,2,4)+1),CELL("address",AE1272))</f>
        <v>$AE$1272</v>
      </c>
      <c r="O1272" s="97" t="str">
        <f ca="1">IF(J1271&gt;=9,(MID(N1272,1,1)&amp;MID(N1272,2,4)+1),CELL("address",AF1272))</f>
        <v>$AF$1272</v>
      </c>
      <c r="P1272" s="97" t="str">
        <f ca="1">IF(J1271&gt;=10,(MID(O1272,1,1)&amp;MID(O1272,2,4)+1),CELL("address",AG1272))</f>
        <v>$AG$1272</v>
      </c>
      <c r="Q1272" s="97" t="str">
        <f ca="1">IF(J1271&gt;=11,(MID(P1272,1,1)&amp;MID(P1272,2,4)+1),CELL("address",AH1272))</f>
        <v>$AH$1272</v>
      </c>
      <c r="R1272" s="97" t="str">
        <f ca="1">IF(J1271&gt;=12,(MID(Q1272,1,1)&amp;MID(Q1272,2,4)+1),CELL("address",AI1272))</f>
        <v>$AI$1272</v>
      </c>
    </row>
    <row r="1273" spans="1:8" ht="15" customHeight="1">
      <c r="A1273" s="299"/>
      <c r="B1273" s="299"/>
      <c r="C1273" s="300"/>
      <c r="D1273" s="44" t="s">
        <v>31</v>
      </c>
      <c r="E1273" s="265">
        <v>0.012</v>
      </c>
      <c r="G1273" s="100" t="str">
        <f>CONCATENATE(D1273," - ",E1273,", ")</f>
        <v>Misc. Alumn. Scrap - 0.012, </v>
      </c>
      <c r="H1273" s="288"/>
    </row>
    <row r="1274" spans="1:8" ht="15" customHeight="1">
      <c r="A1274" s="299"/>
      <c r="B1274" s="299"/>
      <c r="C1274" s="300"/>
      <c r="D1274" s="39" t="s">
        <v>27</v>
      </c>
      <c r="E1274" s="265">
        <v>0.017</v>
      </c>
      <c r="G1274" s="100" t="str">
        <f>CONCATENATE(D1274," - ",E1274,", ")</f>
        <v>Iron scrap - 0.017, </v>
      </c>
      <c r="H1274" s="288"/>
    </row>
    <row r="1275" spans="1:8" ht="15" customHeight="1">
      <c r="A1275" s="1"/>
      <c r="B1275" s="1"/>
      <c r="C1275" s="1"/>
      <c r="D1275" s="1"/>
      <c r="E1275" s="1"/>
      <c r="G1275" s="288"/>
      <c r="H1275" s="288"/>
    </row>
    <row r="1276" spans="1:8" ht="15" customHeight="1">
      <c r="A1276" s="1"/>
      <c r="B1276" s="1"/>
      <c r="C1276" s="1"/>
      <c r="D1276" s="1"/>
      <c r="E1276" s="1"/>
      <c r="G1276" s="288"/>
      <c r="H1276" s="288"/>
    </row>
    <row r="1277" spans="1:8" ht="15" customHeight="1">
      <c r="A1277" s="1"/>
      <c r="B1277" s="1"/>
      <c r="C1277" s="1"/>
      <c r="D1277" s="1"/>
      <c r="E1277" s="1"/>
      <c r="G1277" s="288"/>
      <c r="H1277" s="288"/>
    </row>
    <row r="1278" spans="1:8" ht="15" customHeight="1">
      <c r="A1278" s="1"/>
      <c r="B1278" s="1"/>
      <c r="C1278" s="1"/>
      <c r="D1278" s="1"/>
      <c r="E1278" s="1"/>
      <c r="G1278" s="288"/>
      <c r="H1278" s="288"/>
    </row>
    <row r="1279" spans="1:8" ht="15" customHeight="1">
      <c r="A1279" s="1"/>
      <c r="B1279" s="1"/>
      <c r="C1279" s="1"/>
      <c r="D1279" s="1"/>
      <c r="E1279" s="1"/>
      <c r="G1279" s="288"/>
      <c r="H1279" s="288"/>
    </row>
    <row r="1280" spans="1:8" ht="15" customHeight="1">
      <c r="A1280" s="1"/>
      <c r="B1280" s="1"/>
      <c r="C1280" s="1"/>
      <c r="D1280" s="1"/>
      <c r="E1280" s="1"/>
      <c r="G1280" s="288"/>
      <c r="H1280" s="288"/>
    </row>
    <row r="1281" spans="1:8" ht="15" customHeight="1">
      <c r="A1281" s="1"/>
      <c r="B1281" s="1"/>
      <c r="C1281" s="1"/>
      <c r="D1281" s="1"/>
      <c r="E1281" s="1"/>
      <c r="G1281" s="288"/>
      <c r="H1281" s="288"/>
    </row>
    <row r="1282" spans="1:8" ht="13.5" customHeight="1">
      <c r="A1282" s="1"/>
      <c r="B1282" s="1"/>
      <c r="C1282" s="1"/>
      <c r="D1282" s="1"/>
      <c r="E1282" s="1"/>
      <c r="G1282" s="288"/>
      <c r="H1282" s="288"/>
    </row>
    <row r="1283" spans="1:8" ht="13.5" customHeight="1">
      <c r="A1283" s="1"/>
      <c r="B1283" s="1"/>
      <c r="C1283" s="1"/>
      <c r="D1283" s="1"/>
      <c r="E1283" s="1"/>
      <c r="G1283" s="288"/>
      <c r="H1283" s="288"/>
    </row>
    <row r="1284" spans="1:8" ht="15" customHeight="1">
      <c r="A1284" s="1"/>
      <c r="B1284" s="1"/>
      <c r="C1284" s="1"/>
      <c r="D1284" s="1"/>
      <c r="E1284" s="1"/>
      <c r="G1284" s="288"/>
      <c r="H1284" s="288"/>
    </row>
    <row r="1285" spans="1:8" ht="15" customHeight="1">
      <c r="A1285" s="1"/>
      <c r="B1285" s="1"/>
      <c r="C1285" s="1"/>
      <c r="D1285" s="1"/>
      <c r="E1285" s="1"/>
      <c r="G1285" s="288"/>
      <c r="H1285" s="288"/>
    </row>
    <row r="1286" spans="1:8" ht="15" customHeight="1">
      <c r="A1286" s="1"/>
      <c r="B1286" s="1"/>
      <c r="C1286" s="1"/>
      <c r="D1286" s="1"/>
      <c r="E1286" s="1"/>
      <c r="G1286" s="288"/>
      <c r="H1286" s="288"/>
    </row>
    <row r="1287" spans="1:8" ht="15" customHeight="1">
      <c r="A1287" s="1"/>
      <c r="B1287" s="1"/>
      <c r="C1287" s="1"/>
      <c r="D1287" s="1"/>
      <c r="E1287" s="1"/>
      <c r="G1287" s="288"/>
      <c r="H1287" s="288"/>
    </row>
    <row r="1288" spans="1:8" ht="15" customHeight="1">
      <c r="A1288" s="1"/>
      <c r="B1288" s="1"/>
      <c r="C1288" s="1"/>
      <c r="D1288" s="1"/>
      <c r="E1288" s="1"/>
      <c r="G1288" s="288"/>
      <c r="H1288" s="288"/>
    </row>
    <row r="1289" spans="1:8" ht="16.5" customHeight="1">
      <c r="A1289" s="1"/>
      <c r="B1289" s="1"/>
      <c r="C1289" s="1"/>
      <c r="D1289" s="1"/>
      <c r="E1289" s="1"/>
      <c r="G1289" s="288"/>
      <c r="H1289" s="288"/>
    </row>
    <row r="1290" spans="1:8" ht="16.5" customHeight="1">
      <c r="A1290" s="1"/>
      <c r="B1290" s="1"/>
      <c r="C1290" s="1"/>
      <c r="D1290" s="1"/>
      <c r="E1290" s="1"/>
      <c r="G1290" s="288"/>
      <c r="H1290" s="288"/>
    </row>
    <row r="1291" spans="1:8" ht="16.5" customHeight="1">
      <c r="A1291" s="1"/>
      <c r="B1291" s="1"/>
      <c r="C1291" s="1"/>
      <c r="D1291" s="1"/>
      <c r="E1291" s="1"/>
      <c r="G1291" s="288"/>
      <c r="H1291" s="288"/>
    </row>
    <row r="1292" spans="1:8" ht="16.5" customHeight="1">
      <c r="A1292" s="1"/>
      <c r="B1292" s="1"/>
      <c r="C1292" s="1"/>
      <c r="D1292" s="1"/>
      <c r="E1292" s="1"/>
      <c r="G1292" s="288"/>
      <c r="H1292" s="288"/>
    </row>
    <row r="1293" spans="1:8" ht="16.5" customHeight="1">
      <c r="A1293" s="1"/>
      <c r="B1293" s="1"/>
      <c r="C1293" s="1"/>
      <c r="D1293" s="1"/>
      <c r="E1293" s="1"/>
      <c r="G1293" s="288"/>
      <c r="H1293" s="288"/>
    </row>
    <row r="1294" spans="1:8" ht="16.5" customHeight="1">
      <c r="A1294" s="1"/>
      <c r="B1294" s="1"/>
      <c r="C1294" s="1"/>
      <c r="D1294" s="1"/>
      <c r="E1294" s="1"/>
      <c r="G1294" s="288"/>
      <c r="H1294" s="288"/>
    </row>
    <row r="1295" spans="1:8" ht="16.5" customHeight="1">
      <c r="A1295" s="1"/>
      <c r="B1295" s="1"/>
      <c r="C1295" s="1"/>
      <c r="D1295" s="1"/>
      <c r="E1295" s="1"/>
      <c r="G1295" s="288"/>
      <c r="H1295" s="288"/>
    </row>
    <row r="1296" spans="1:8" ht="15" customHeight="1">
      <c r="A1296" s="1"/>
      <c r="B1296" s="1"/>
      <c r="C1296" s="1"/>
      <c r="D1296" s="1"/>
      <c r="E1296" s="1"/>
      <c r="G1296" s="288"/>
      <c r="H1296" s="288"/>
    </row>
    <row r="1297" spans="1:8" ht="15" customHeight="1">
      <c r="A1297" s="1"/>
      <c r="B1297" s="1"/>
      <c r="C1297" s="1"/>
      <c r="D1297" s="1"/>
      <c r="E1297" s="1"/>
      <c r="G1297" s="288"/>
      <c r="H1297" s="288"/>
    </row>
    <row r="1298" spans="1:8" ht="15" customHeight="1">
      <c r="A1298" s="1"/>
      <c r="B1298" s="1"/>
      <c r="C1298" s="1"/>
      <c r="D1298" s="1"/>
      <c r="E1298" s="1"/>
      <c r="G1298" s="288"/>
      <c r="H1298" s="288"/>
    </row>
    <row r="1299" spans="1:8" ht="14.25" customHeight="1">
      <c r="A1299" s="1"/>
      <c r="B1299" s="1"/>
      <c r="C1299" s="1"/>
      <c r="D1299" s="1"/>
      <c r="E1299" s="1"/>
      <c r="G1299" s="288"/>
      <c r="H1299" s="288"/>
    </row>
    <row r="1300" spans="1:8" ht="14.25" customHeight="1">
      <c r="A1300" s="1"/>
      <c r="B1300" s="1"/>
      <c r="C1300" s="1"/>
      <c r="D1300" s="1"/>
      <c r="E1300" s="1"/>
      <c r="G1300" s="288"/>
      <c r="H1300" s="288"/>
    </row>
    <row r="1301" spans="1:8" ht="14.25" customHeight="1">
      <c r="A1301" s="1"/>
      <c r="B1301" s="1"/>
      <c r="C1301" s="1"/>
      <c r="D1301" s="1"/>
      <c r="E1301" s="1"/>
      <c r="G1301" s="288"/>
      <c r="H1301" s="288"/>
    </row>
    <row r="1302" spans="1:8" ht="14.25" customHeight="1">
      <c r="A1302" s="1"/>
      <c r="B1302" s="1"/>
      <c r="C1302" s="1"/>
      <c r="D1302" s="1"/>
      <c r="E1302" s="1"/>
      <c r="G1302" s="288"/>
      <c r="H1302" s="288"/>
    </row>
    <row r="1303" spans="1:8" ht="14.25" customHeight="1">
      <c r="A1303" s="1"/>
      <c r="B1303" s="1"/>
      <c r="C1303" s="1"/>
      <c r="D1303" s="1"/>
      <c r="E1303" s="1"/>
      <c r="G1303" s="288"/>
      <c r="H1303" s="288"/>
    </row>
    <row r="1304" spans="1:8" ht="14.25" customHeight="1">
      <c r="A1304" s="1"/>
      <c r="B1304" s="1"/>
      <c r="C1304" s="1"/>
      <c r="D1304" s="1"/>
      <c r="E1304" s="1"/>
      <c r="G1304" s="288"/>
      <c r="H1304" s="288"/>
    </row>
    <row r="1305" spans="1:8" ht="14.25" customHeight="1">
      <c r="A1305" s="1"/>
      <c r="B1305" s="1"/>
      <c r="C1305" s="1"/>
      <c r="D1305" s="1"/>
      <c r="E1305" s="1"/>
      <c r="G1305" s="288"/>
      <c r="H1305" s="288"/>
    </row>
    <row r="1306" spans="1:8" ht="14.25" customHeight="1">
      <c r="A1306" s="1"/>
      <c r="B1306" s="1"/>
      <c r="C1306" s="1"/>
      <c r="D1306" s="1"/>
      <c r="E1306" s="1"/>
      <c r="G1306" s="288"/>
      <c r="H1306" s="288"/>
    </row>
    <row r="1307" spans="1:8" ht="14.25" customHeight="1">
      <c r="A1307" s="1"/>
      <c r="B1307" s="1"/>
      <c r="C1307" s="1"/>
      <c r="D1307" s="1"/>
      <c r="E1307" s="1"/>
      <c r="G1307" s="288"/>
      <c r="H1307" s="288"/>
    </row>
    <row r="1308" spans="1:8" ht="14.25" customHeight="1">
      <c r="A1308" s="1"/>
      <c r="B1308" s="1"/>
      <c r="C1308" s="1"/>
      <c r="D1308" s="1"/>
      <c r="E1308" s="1"/>
      <c r="G1308" s="288"/>
      <c r="H1308" s="288"/>
    </row>
    <row r="1309" spans="1:8" ht="14.25" customHeight="1">
      <c r="A1309" s="1"/>
      <c r="B1309" s="1"/>
      <c r="C1309" s="1"/>
      <c r="D1309" s="1"/>
      <c r="E1309" s="1"/>
      <c r="G1309" s="288"/>
      <c r="H1309" s="288"/>
    </row>
    <row r="1310" spans="1:8" ht="14.25" customHeight="1">
      <c r="A1310" s="1"/>
      <c r="B1310" s="1"/>
      <c r="C1310" s="1"/>
      <c r="D1310" s="1"/>
      <c r="E1310" s="1"/>
      <c r="G1310" s="288"/>
      <c r="H1310" s="288"/>
    </row>
    <row r="1311" spans="1:8" ht="14.25" customHeight="1">
      <c r="A1311" s="1"/>
      <c r="B1311" s="1"/>
      <c r="C1311" s="1"/>
      <c r="D1311" s="1"/>
      <c r="E1311" s="1"/>
      <c r="G1311" s="288"/>
      <c r="H1311" s="288"/>
    </row>
    <row r="1312" spans="1:8" ht="14.25" customHeight="1">
      <c r="A1312" s="1"/>
      <c r="B1312" s="1"/>
      <c r="C1312" s="1"/>
      <c r="D1312" s="1"/>
      <c r="E1312" s="1"/>
      <c r="G1312" s="288"/>
      <c r="H1312" s="288"/>
    </row>
    <row r="1313" spans="1:8" ht="14.25" customHeight="1">
      <c r="A1313" s="1"/>
      <c r="B1313" s="1"/>
      <c r="C1313" s="1"/>
      <c r="D1313" s="1"/>
      <c r="E1313" s="1"/>
      <c r="G1313" s="288"/>
      <c r="H1313" s="288"/>
    </row>
    <row r="1314" spans="1:8" ht="14.25" customHeight="1">
      <c r="A1314" s="1"/>
      <c r="B1314" s="1"/>
      <c r="C1314" s="1"/>
      <c r="D1314" s="1"/>
      <c r="E1314" s="1"/>
      <c r="G1314" s="288"/>
      <c r="H1314" s="288"/>
    </row>
    <row r="1315" spans="1:8" ht="14.25" customHeight="1">
      <c r="A1315" s="1"/>
      <c r="B1315" s="1"/>
      <c r="C1315" s="1"/>
      <c r="D1315" s="1"/>
      <c r="E1315" s="1"/>
      <c r="G1315" s="288"/>
      <c r="H1315" s="288"/>
    </row>
    <row r="1316" spans="1:8" ht="14.25" customHeight="1">
      <c r="A1316" s="1"/>
      <c r="B1316" s="1"/>
      <c r="C1316" s="1"/>
      <c r="D1316" s="1"/>
      <c r="E1316" s="1"/>
      <c r="G1316" s="288"/>
      <c r="H1316" s="288"/>
    </row>
    <row r="1317" spans="1:8" ht="14.25" customHeight="1">
      <c r="A1317" s="1"/>
      <c r="B1317" s="1"/>
      <c r="C1317" s="1"/>
      <c r="D1317" s="1"/>
      <c r="E1317" s="1"/>
      <c r="G1317" s="288"/>
      <c r="H1317" s="288"/>
    </row>
    <row r="1318" spans="1:8" ht="14.25" customHeight="1">
      <c r="A1318" s="1"/>
      <c r="B1318" s="1"/>
      <c r="C1318" s="1"/>
      <c r="D1318" s="1"/>
      <c r="E1318" s="1"/>
      <c r="G1318" s="288"/>
      <c r="H1318" s="288"/>
    </row>
    <row r="1319" spans="1:8" ht="14.25" customHeight="1">
      <c r="A1319" s="1"/>
      <c r="B1319" s="1"/>
      <c r="C1319" s="1"/>
      <c r="D1319" s="1"/>
      <c r="E1319" s="1"/>
      <c r="G1319" s="288"/>
      <c r="H1319" s="288"/>
    </row>
    <row r="1320" spans="1:8" ht="14.25" customHeight="1">
      <c r="A1320" s="1"/>
      <c r="B1320" s="1"/>
      <c r="C1320" s="1"/>
      <c r="D1320" s="1"/>
      <c r="E1320" s="1"/>
      <c r="G1320" s="288"/>
      <c r="H1320" s="288"/>
    </row>
    <row r="1321" spans="1:8" ht="14.25" customHeight="1">
      <c r="A1321" s="1"/>
      <c r="B1321" s="1"/>
      <c r="C1321" s="1"/>
      <c r="D1321" s="1"/>
      <c r="E1321" s="1"/>
      <c r="G1321" s="288"/>
      <c r="H1321" s="288"/>
    </row>
    <row r="1322" spans="1:8" ht="14.25" customHeight="1">
      <c r="A1322" s="1"/>
      <c r="B1322" s="1"/>
      <c r="C1322" s="1"/>
      <c r="D1322" s="1"/>
      <c r="E1322" s="1"/>
      <c r="G1322" s="288"/>
      <c r="H1322" s="288"/>
    </row>
    <row r="1323" spans="1:8" ht="14.25" customHeight="1">
      <c r="A1323" s="1"/>
      <c r="B1323" s="1"/>
      <c r="C1323" s="1"/>
      <c r="D1323" s="1"/>
      <c r="E1323" s="1"/>
      <c r="G1323" s="288"/>
      <c r="H1323" s="288"/>
    </row>
    <row r="1324" spans="1:8" ht="14.25" customHeight="1">
      <c r="A1324" s="1"/>
      <c r="B1324" s="1"/>
      <c r="C1324" s="1"/>
      <c r="D1324" s="1"/>
      <c r="E1324" s="1"/>
      <c r="G1324" s="288"/>
      <c r="H1324" s="288"/>
    </row>
    <row r="1325" spans="1:8" ht="14.25" customHeight="1">
      <c r="A1325" s="1"/>
      <c r="B1325" s="1"/>
      <c r="C1325" s="1"/>
      <c r="D1325" s="1"/>
      <c r="E1325" s="1"/>
      <c r="G1325" s="288"/>
      <c r="H1325" s="288"/>
    </row>
    <row r="1326" spans="1:8" ht="14.25" customHeight="1">
      <c r="A1326" s="1"/>
      <c r="B1326" s="1"/>
      <c r="C1326" s="1"/>
      <c r="D1326" s="1"/>
      <c r="E1326" s="1"/>
      <c r="G1326" s="288"/>
      <c r="H1326" s="288"/>
    </row>
    <row r="1327" spans="1:8" ht="14.25" customHeight="1">
      <c r="A1327" s="1"/>
      <c r="B1327" s="1"/>
      <c r="C1327" s="1"/>
      <c r="D1327" s="1"/>
      <c r="E1327" s="1"/>
      <c r="G1327" s="288"/>
      <c r="H1327" s="288"/>
    </row>
    <row r="1328" spans="1:8" ht="14.25" customHeight="1">
      <c r="A1328" s="1"/>
      <c r="B1328" s="1"/>
      <c r="C1328" s="1"/>
      <c r="D1328" s="1"/>
      <c r="E1328" s="1"/>
      <c r="G1328" s="288"/>
      <c r="H1328" s="288"/>
    </row>
    <row r="1329" spans="1:8" ht="14.25" customHeight="1">
      <c r="A1329" s="1"/>
      <c r="B1329" s="1"/>
      <c r="C1329" s="1"/>
      <c r="D1329" s="1"/>
      <c r="E1329" s="1"/>
      <c r="G1329" s="288"/>
      <c r="H1329" s="288"/>
    </row>
    <row r="1330" spans="1:8" ht="14.25" customHeight="1">
      <c r="A1330" s="1"/>
      <c r="B1330" s="1"/>
      <c r="C1330" s="1"/>
      <c r="D1330" s="1"/>
      <c r="E1330" s="1"/>
      <c r="G1330" s="288"/>
      <c r="H1330" s="288"/>
    </row>
    <row r="1331" spans="1:8" ht="14.25" customHeight="1">
      <c r="A1331" s="1"/>
      <c r="B1331" s="1"/>
      <c r="C1331" s="1"/>
      <c r="D1331" s="1"/>
      <c r="E1331" s="1"/>
      <c r="G1331" s="288"/>
      <c r="H1331" s="288"/>
    </row>
    <row r="1332" spans="1:8" ht="14.25" customHeight="1">
      <c r="A1332" s="1"/>
      <c r="B1332" s="1"/>
      <c r="C1332" s="1"/>
      <c r="D1332" s="1"/>
      <c r="E1332" s="1"/>
      <c r="G1332" s="288"/>
      <c r="H1332" s="288"/>
    </row>
    <row r="1333" spans="1:8" ht="14.25" customHeight="1">
      <c r="A1333" s="1"/>
      <c r="B1333" s="1"/>
      <c r="C1333" s="1"/>
      <c r="D1333" s="1"/>
      <c r="E1333" s="1"/>
      <c r="G1333" s="288"/>
      <c r="H1333" s="288"/>
    </row>
    <row r="1334" spans="1:8" ht="14.25" customHeight="1">
      <c r="A1334" s="1"/>
      <c r="B1334" s="1"/>
      <c r="C1334" s="1"/>
      <c r="D1334" s="1"/>
      <c r="E1334" s="1"/>
      <c r="G1334" s="288"/>
      <c r="H1334" s="288"/>
    </row>
    <row r="1335" spans="1:8" ht="14.25" customHeight="1">
      <c r="A1335" s="1"/>
      <c r="B1335" s="1"/>
      <c r="C1335" s="1"/>
      <c r="D1335" s="1"/>
      <c r="E1335" s="1"/>
      <c r="G1335" s="288"/>
      <c r="H1335" s="288"/>
    </row>
    <row r="1336" spans="1:8" ht="14.25" customHeight="1">
      <c r="A1336" s="1"/>
      <c r="B1336" s="1"/>
      <c r="C1336" s="1"/>
      <c r="D1336" s="1"/>
      <c r="E1336" s="1"/>
      <c r="G1336" s="288"/>
      <c r="H1336" s="288"/>
    </row>
    <row r="1337" spans="1:8" ht="14.25" customHeight="1">
      <c r="A1337" s="1"/>
      <c r="B1337" s="1"/>
      <c r="C1337" s="1"/>
      <c r="D1337" s="1"/>
      <c r="E1337" s="1"/>
      <c r="G1337" s="288"/>
      <c r="H1337" s="288"/>
    </row>
    <row r="1338" spans="1:8" ht="14.25" customHeight="1">
      <c r="A1338" s="1"/>
      <c r="B1338" s="1"/>
      <c r="C1338" s="1"/>
      <c r="D1338" s="1"/>
      <c r="E1338" s="1"/>
      <c r="G1338" s="288"/>
      <c r="H1338" s="288"/>
    </row>
    <row r="1339" spans="1:8" ht="14.25" customHeight="1">
      <c r="A1339" s="1"/>
      <c r="B1339" s="1"/>
      <c r="C1339" s="1"/>
      <c r="D1339" s="1"/>
      <c r="E1339" s="1"/>
      <c r="G1339" s="288"/>
      <c r="H1339" s="288"/>
    </row>
    <row r="1340" spans="1:8" ht="14.25" customHeight="1">
      <c r="A1340" s="1"/>
      <c r="B1340" s="1"/>
      <c r="C1340" s="1"/>
      <c r="D1340" s="1"/>
      <c r="E1340" s="1"/>
      <c r="G1340" s="288"/>
      <c r="H1340" s="288"/>
    </row>
    <row r="1341" spans="1:8" ht="14.25" customHeight="1">
      <c r="A1341" s="1"/>
      <c r="B1341" s="1"/>
      <c r="C1341" s="1"/>
      <c r="D1341" s="1"/>
      <c r="E1341" s="1"/>
      <c r="G1341" s="288"/>
      <c r="H1341" s="288"/>
    </row>
    <row r="1342" spans="1:8" ht="14.25" customHeight="1">
      <c r="A1342" s="1"/>
      <c r="B1342" s="1"/>
      <c r="C1342" s="1"/>
      <c r="D1342" s="1"/>
      <c r="E1342" s="1"/>
      <c r="G1342" s="288"/>
      <c r="H1342" s="288"/>
    </row>
    <row r="1343" spans="1:8" ht="14.25" customHeight="1">
      <c r="A1343" s="1"/>
      <c r="B1343" s="1"/>
      <c r="C1343" s="1"/>
      <c r="D1343" s="1"/>
      <c r="E1343" s="1"/>
      <c r="G1343" s="288"/>
      <c r="H1343" s="288"/>
    </row>
    <row r="1344" spans="1:8" ht="14.25" customHeight="1">
      <c r="A1344" s="1"/>
      <c r="B1344" s="1"/>
      <c r="C1344" s="1"/>
      <c r="D1344" s="1"/>
      <c r="E1344" s="1"/>
      <c r="G1344" s="288"/>
      <c r="H1344" s="288"/>
    </row>
    <row r="1345" spans="1:8" ht="14.25" customHeight="1">
      <c r="A1345" s="1"/>
      <c r="B1345" s="1"/>
      <c r="C1345" s="1"/>
      <c r="D1345" s="1"/>
      <c r="E1345" s="1"/>
      <c r="G1345" s="288"/>
      <c r="H1345" s="288"/>
    </row>
    <row r="1346" spans="1:8" ht="14.25" customHeight="1">
      <c r="A1346" s="1"/>
      <c r="B1346" s="1"/>
      <c r="C1346" s="1"/>
      <c r="D1346" s="1"/>
      <c r="E1346" s="1"/>
      <c r="G1346" s="288"/>
      <c r="H1346" s="288"/>
    </row>
    <row r="1347" spans="1:8" ht="14.25" customHeight="1">
      <c r="A1347" s="1"/>
      <c r="B1347" s="1"/>
      <c r="C1347" s="1"/>
      <c r="D1347" s="1"/>
      <c r="E1347" s="1"/>
      <c r="G1347" s="288"/>
      <c r="H1347" s="288"/>
    </row>
    <row r="1348" spans="1:8" ht="14.25" customHeight="1">
      <c r="A1348" s="1"/>
      <c r="B1348" s="1"/>
      <c r="C1348" s="1"/>
      <c r="D1348" s="1"/>
      <c r="E1348" s="1"/>
      <c r="G1348" s="288"/>
      <c r="H1348" s="288"/>
    </row>
    <row r="1349" spans="1:8" ht="14.25" customHeight="1">
      <c r="A1349" s="1"/>
      <c r="B1349" s="1"/>
      <c r="C1349" s="1"/>
      <c r="D1349" s="1"/>
      <c r="E1349" s="1"/>
      <c r="G1349" s="288"/>
      <c r="H1349" s="288"/>
    </row>
    <row r="1350" spans="1:8" ht="14.25" customHeight="1">
      <c r="A1350" s="1"/>
      <c r="B1350" s="1"/>
      <c r="C1350" s="1"/>
      <c r="D1350" s="1"/>
      <c r="E1350" s="1"/>
      <c r="G1350" s="288"/>
      <c r="H1350" s="288"/>
    </row>
    <row r="1351" spans="1:8" ht="14.25" customHeight="1">
      <c r="A1351" s="1"/>
      <c r="B1351" s="1"/>
      <c r="C1351" s="1"/>
      <c r="D1351" s="1"/>
      <c r="E1351" s="1"/>
      <c r="G1351" s="288"/>
      <c r="H1351" s="288"/>
    </row>
    <row r="1352" spans="1:8" ht="14.25" customHeight="1">
      <c r="A1352" s="1"/>
      <c r="B1352" s="1"/>
      <c r="C1352" s="1"/>
      <c r="D1352" s="1"/>
      <c r="E1352" s="1"/>
      <c r="G1352" s="288"/>
      <c r="H1352" s="288"/>
    </row>
    <row r="1353" spans="1:8" ht="14.25" customHeight="1">
      <c r="A1353" s="1"/>
      <c r="B1353" s="1"/>
      <c r="C1353" s="1"/>
      <c r="D1353" s="1"/>
      <c r="E1353" s="1"/>
      <c r="G1353" s="288"/>
      <c r="H1353" s="288"/>
    </row>
    <row r="1354" spans="1:8" ht="14.25" customHeight="1">
      <c r="A1354" s="1"/>
      <c r="B1354" s="1"/>
      <c r="C1354" s="1"/>
      <c r="D1354" s="1"/>
      <c r="E1354" s="1"/>
      <c r="G1354" s="288"/>
      <c r="H1354" s="288"/>
    </row>
    <row r="1355" spans="1:8" ht="14.25" customHeight="1">
      <c r="A1355" s="1"/>
      <c r="B1355" s="1"/>
      <c r="C1355" s="1"/>
      <c r="D1355" s="1"/>
      <c r="E1355" s="1"/>
      <c r="G1355" s="288"/>
      <c r="H1355" s="288"/>
    </row>
    <row r="1356" spans="1:8" ht="14.25" customHeight="1">
      <c r="A1356" s="1"/>
      <c r="B1356" s="1"/>
      <c r="C1356" s="1"/>
      <c r="D1356" s="1"/>
      <c r="E1356" s="1"/>
      <c r="G1356" s="288"/>
      <c r="H1356" s="288"/>
    </row>
    <row r="1357" spans="7:8" ht="14.25" customHeight="1">
      <c r="G1357" s="288"/>
      <c r="H1357" s="288"/>
    </row>
    <row r="1358" ht="14.25" customHeight="1"/>
    <row r="1359" ht="14.25" customHeight="1"/>
    <row r="1360" ht="14.25" customHeight="1"/>
    <row r="1361" ht="19.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</sheetData>
  <sheetProtection/>
  <mergeCells count="667">
    <mergeCell ref="A670:E670"/>
    <mergeCell ref="A672:C672"/>
    <mergeCell ref="A677:C677"/>
    <mergeCell ref="A682:C682"/>
    <mergeCell ref="C858:C864"/>
    <mergeCell ref="A858:B864"/>
    <mergeCell ref="C840:C843"/>
    <mergeCell ref="A840:B843"/>
    <mergeCell ref="A740:A745"/>
    <mergeCell ref="A800:A802"/>
    <mergeCell ref="A395:E395"/>
    <mergeCell ref="A572:E572"/>
    <mergeCell ref="A634:C634"/>
    <mergeCell ref="A598:C598"/>
    <mergeCell ref="A603:E603"/>
    <mergeCell ref="A961:B965"/>
    <mergeCell ref="A622:E622"/>
    <mergeCell ref="A806:A809"/>
    <mergeCell ref="B749:C751"/>
    <mergeCell ref="A733:A736"/>
    <mergeCell ref="A409:E409"/>
    <mergeCell ref="A469:E469"/>
    <mergeCell ref="A1261:B1261"/>
    <mergeCell ref="A1262:B1262"/>
    <mergeCell ref="A1263:B1263"/>
    <mergeCell ref="A655:E655"/>
    <mergeCell ref="A657:C657"/>
    <mergeCell ref="A662:C662"/>
    <mergeCell ref="A665:C665"/>
    <mergeCell ref="C961:C965"/>
    <mergeCell ref="C1272:C1274"/>
    <mergeCell ref="A1272:B1274"/>
    <mergeCell ref="H1266:H1267"/>
    <mergeCell ref="H1271:H1272"/>
    <mergeCell ref="A1265:B1265"/>
    <mergeCell ref="A1266:B1266"/>
    <mergeCell ref="A1267:B1268"/>
    <mergeCell ref="A1271:B1271"/>
    <mergeCell ref="C1267:C1268"/>
    <mergeCell ref="A1270:B1270"/>
    <mergeCell ref="H1262:H1263"/>
    <mergeCell ref="C950:C952"/>
    <mergeCell ref="A950:B952"/>
    <mergeCell ref="A1252:B1252"/>
    <mergeCell ref="C980:C981"/>
    <mergeCell ref="A980:B981"/>
    <mergeCell ref="A1253:B1253"/>
    <mergeCell ref="H1247:H1248"/>
    <mergeCell ref="H975:H976"/>
    <mergeCell ref="H1236:H1237"/>
    <mergeCell ref="C8:D8"/>
    <mergeCell ref="C14:D14"/>
    <mergeCell ref="A8:B8"/>
    <mergeCell ref="A16:B16"/>
    <mergeCell ref="A1251:B1251"/>
    <mergeCell ref="A1248:B1249"/>
    <mergeCell ref="C868:C870"/>
    <mergeCell ref="A868:B870"/>
    <mergeCell ref="A976:B976"/>
    <mergeCell ref="A379:C379"/>
    <mergeCell ref="T1253:X1253"/>
    <mergeCell ref="C35:D35"/>
    <mergeCell ref="A35:B35"/>
    <mergeCell ref="C43:D43"/>
    <mergeCell ref="C49:D49"/>
    <mergeCell ref="C51:D51"/>
    <mergeCell ref="A43:B43"/>
    <mergeCell ref="A1247:B1247"/>
    <mergeCell ref="H1252:H1253"/>
    <mergeCell ref="C1248:C1249"/>
    <mergeCell ref="H1242:H1243"/>
    <mergeCell ref="A1243:B1244"/>
    <mergeCell ref="C1243:C1244"/>
    <mergeCell ref="A1246:B1246"/>
    <mergeCell ref="C44:D44"/>
    <mergeCell ref="C45:D45"/>
    <mergeCell ref="A44:B44"/>
    <mergeCell ref="A45:B45"/>
    <mergeCell ref="A975:B975"/>
    <mergeCell ref="A49:B49"/>
    <mergeCell ref="C1207:C1211"/>
    <mergeCell ref="A1207:B1211"/>
    <mergeCell ref="A17:B17"/>
    <mergeCell ref="C41:D41"/>
    <mergeCell ref="A47:B47"/>
    <mergeCell ref="C52:D52"/>
    <mergeCell ref="A52:B52"/>
    <mergeCell ref="C37:D37"/>
    <mergeCell ref="C38:D38"/>
    <mergeCell ref="C17:D17"/>
    <mergeCell ref="C20:D20"/>
    <mergeCell ref="A20:B20"/>
    <mergeCell ref="A291:C291"/>
    <mergeCell ref="A316:C316"/>
    <mergeCell ref="C1180:C1184"/>
    <mergeCell ref="A1180:B1184"/>
    <mergeCell ref="B719:C722"/>
    <mergeCell ref="B701:C701"/>
    <mergeCell ref="B709:C709"/>
    <mergeCell ref="B813:C816"/>
    <mergeCell ref="A1235:B1235"/>
    <mergeCell ref="A1236:B1236"/>
    <mergeCell ref="C1232:C1233"/>
    <mergeCell ref="A1201:B1201"/>
    <mergeCell ref="A1193:B1193"/>
    <mergeCell ref="A1194:B1194"/>
    <mergeCell ref="C1220:C1223"/>
    <mergeCell ref="A1220:B1223"/>
    <mergeCell ref="A1219:B1219"/>
    <mergeCell ref="A1202:B1202"/>
    <mergeCell ref="A1241:B1241"/>
    <mergeCell ref="A1242:B1242"/>
    <mergeCell ref="H1226:H1227"/>
    <mergeCell ref="H1231:H1232"/>
    <mergeCell ref="A1230:B1230"/>
    <mergeCell ref="A1231:B1231"/>
    <mergeCell ref="A1232:B1233"/>
    <mergeCell ref="A1227:B1228"/>
    <mergeCell ref="C1227:C1228"/>
    <mergeCell ref="A1226:B1226"/>
    <mergeCell ref="H1206:H1207"/>
    <mergeCell ref="H1107:H1108"/>
    <mergeCell ref="H1115:H1116"/>
    <mergeCell ref="H1126:H1127"/>
    <mergeCell ref="H1131:H1132"/>
    <mergeCell ref="H1136:H1137"/>
    <mergeCell ref="H1144:H1145"/>
    <mergeCell ref="H1171:H1172"/>
    <mergeCell ref="H1175:H1176"/>
    <mergeCell ref="H1219:H1220"/>
    <mergeCell ref="H1149:H1150"/>
    <mergeCell ref="H1154:H1155"/>
    <mergeCell ref="H1163:H1164"/>
    <mergeCell ref="H1167:H1168"/>
    <mergeCell ref="H1179:H1180"/>
    <mergeCell ref="H1187:H1188"/>
    <mergeCell ref="H1194:H1195"/>
    <mergeCell ref="H1202:H1203"/>
    <mergeCell ref="H1214:H1215"/>
    <mergeCell ref="H1076:H1077"/>
    <mergeCell ref="H915:H916"/>
    <mergeCell ref="H928:H929"/>
    <mergeCell ref="H935:H936"/>
    <mergeCell ref="H942:H943"/>
    <mergeCell ref="H1067:H1068"/>
    <mergeCell ref="H955:H956"/>
    <mergeCell ref="H984:H985"/>
    <mergeCell ref="H988:H989"/>
    <mergeCell ref="H1060:H1061"/>
    <mergeCell ref="H1084:H1085"/>
    <mergeCell ref="H1089:H1090"/>
    <mergeCell ref="H1096:H1097"/>
    <mergeCell ref="H1103:H1104"/>
    <mergeCell ref="H748:H749"/>
    <mergeCell ref="H754:H755"/>
    <mergeCell ref="H761:H762"/>
    <mergeCell ref="H769:H770"/>
    <mergeCell ref="H776:H777"/>
    <mergeCell ref="H857:H858"/>
    <mergeCell ref="H739:H740"/>
    <mergeCell ref="B732:C732"/>
    <mergeCell ref="B726:C729"/>
    <mergeCell ref="H725:H726"/>
    <mergeCell ref="H703:H704"/>
    <mergeCell ref="H710:H711"/>
    <mergeCell ref="B710:C710"/>
    <mergeCell ref="B711:C715"/>
    <mergeCell ref="B740:C745"/>
    <mergeCell ref="H867:H868"/>
    <mergeCell ref="H873:H874"/>
    <mergeCell ref="H879:H880"/>
    <mergeCell ref="H718:H719"/>
    <mergeCell ref="A429:C429"/>
    <mergeCell ref="B696:C696"/>
    <mergeCell ref="A525:E525"/>
    <mergeCell ref="B733:C736"/>
    <mergeCell ref="H689:H690"/>
    <mergeCell ref="H696:H697"/>
    <mergeCell ref="A777:A780"/>
    <mergeCell ref="B761:C761"/>
    <mergeCell ref="A813:A816"/>
    <mergeCell ref="A793:A796"/>
    <mergeCell ref="B799:C799"/>
    <mergeCell ref="B800:C802"/>
    <mergeCell ref="B812:C812"/>
    <mergeCell ref="A231:C231"/>
    <mergeCell ref="B792:C792"/>
    <mergeCell ref="B770:C773"/>
    <mergeCell ref="A690:A693"/>
    <mergeCell ref="A411:C411"/>
    <mergeCell ref="A427:E427"/>
    <mergeCell ref="B704:C707"/>
    <mergeCell ref="B718:C718"/>
    <mergeCell ref="A719:A722"/>
    <mergeCell ref="A383:C383"/>
    <mergeCell ref="A278:C278"/>
    <mergeCell ref="A285:C285"/>
    <mergeCell ref="B798:C798"/>
    <mergeCell ref="A770:A773"/>
    <mergeCell ref="A302:C302"/>
    <mergeCell ref="A397:C397"/>
    <mergeCell ref="A401:C401"/>
    <mergeCell ref="A377:E377"/>
    <mergeCell ref="A354:E354"/>
    <mergeCell ref="A356:C356"/>
    <mergeCell ref="A880:B881"/>
    <mergeCell ref="C916:C925"/>
    <mergeCell ref="A916:B925"/>
    <mergeCell ref="C889:C890"/>
    <mergeCell ref="A956:B957"/>
    <mergeCell ref="A949:B949"/>
    <mergeCell ref="A955:B955"/>
    <mergeCell ref="A942:B942"/>
    <mergeCell ref="A885:B885"/>
    <mergeCell ref="C894:C898"/>
    <mergeCell ref="A704:A707"/>
    <mergeCell ref="A372:C372"/>
    <mergeCell ref="C1150:C1151"/>
    <mergeCell ref="A1150:B1151"/>
    <mergeCell ref="A968:B968"/>
    <mergeCell ref="C826:C827"/>
    <mergeCell ref="A1011:B1011"/>
    <mergeCell ref="C835:C836"/>
    <mergeCell ref="A834:B834"/>
    <mergeCell ref="C880:C881"/>
    <mergeCell ref="B695:C695"/>
    <mergeCell ref="A450:C450"/>
    <mergeCell ref="A455:E455"/>
    <mergeCell ref="B689:C689"/>
    <mergeCell ref="A574:C574"/>
    <mergeCell ref="A579:C579"/>
    <mergeCell ref="A586:C586"/>
    <mergeCell ref="A457:C457"/>
    <mergeCell ref="A471:C471"/>
    <mergeCell ref="A605:C605"/>
    <mergeCell ref="A154:C154"/>
    <mergeCell ref="A711:A715"/>
    <mergeCell ref="A264:C264"/>
    <mergeCell ref="A267:C267"/>
    <mergeCell ref="A749:A751"/>
    <mergeCell ref="A241:C241"/>
    <mergeCell ref="A327:E327"/>
    <mergeCell ref="A329:C329"/>
    <mergeCell ref="A312:C312"/>
    <mergeCell ref="B702:C702"/>
    <mergeCell ref="A59:E59"/>
    <mergeCell ref="A225:E225"/>
    <mergeCell ref="A188:C188"/>
    <mergeCell ref="A210:C210"/>
    <mergeCell ref="A835:B836"/>
    <mergeCell ref="A244:C244"/>
    <mergeCell ref="A207:C207"/>
    <mergeCell ref="A262:E262"/>
    <mergeCell ref="B776:C776"/>
    <mergeCell ref="A296:E296"/>
    <mergeCell ref="A227:C227"/>
    <mergeCell ref="A186:E186"/>
    <mergeCell ref="A205:E205"/>
    <mergeCell ref="A726:A729"/>
    <mergeCell ref="C821:C822"/>
    <mergeCell ref="A821:B822"/>
    <mergeCell ref="A298:C298"/>
    <mergeCell ref="B690:C693"/>
    <mergeCell ref="A820:B820"/>
    <mergeCell ref="A360:C360"/>
    <mergeCell ref="A873:B873"/>
    <mergeCell ref="A1060:B1060"/>
    <mergeCell ref="B1020:C1020"/>
    <mergeCell ref="A1044:E1044"/>
    <mergeCell ref="A1006:B1006"/>
    <mergeCell ref="A1058:E1058"/>
    <mergeCell ref="B1038:C1038"/>
    <mergeCell ref="A988:B988"/>
    <mergeCell ref="C1001:D1001"/>
    <mergeCell ref="A989:B989"/>
    <mergeCell ref="A1115:B1115"/>
    <mergeCell ref="A1131:B1131"/>
    <mergeCell ref="C1108:C1112"/>
    <mergeCell ref="A1108:B1112"/>
    <mergeCell ref="A1096:B1096"/>
    <mergeCell ref="A1085:B1086"/>
    <mergeCell ref="A1088:B1088"/>
    <mergeCell ref="C1097:C1100"/>
    <mergeCell ref="C1085:C1086"/>
    <mergeCell ref="A1103:B1103"/>
    <mergeCell ref="A1176:B1176"/>
    <mergeCell ref="A1170:B1170"/>
    <mergeCell ref="A1173:B1173"/>
    <mergeCell ref="A1174:B1174"/>
    <mergeCell ref="A1172:B1172"/>
    <mergeCell ref="A1167:B1167"/>
    <mergeCell ref="A1178:B1178"/>
    <mergeCell ref="A1149:B1149"/>
    <mergeCell ref="A1163:B1163"/>
    <mergeCell ref="A1195:B1199"/>
    <mergeCell ref="A1165:B1165"/>
    <mergeCell ref="A1164:B1164"/>
    <mergeCell ref="A1186:B1186"/>
    <mergeCell ref="A1177:B1177"/>
    <mergeCell ref="A1168:B1168"/>
    <mergeCell ref="A1166:B1166"/>
    <mergeCell ref="A1169:B1169"/>
    <mergeCell ref="A1175:B1175"/>
    <mergeCell ref="A1171:B1171"/>
    <mergeCell ref="A1162:B1162"/>
    <mergeCell ref="A1145:B1146"/>
    <mergeCell ref="A1148:B1148"/>
    <mergeCell ref="A1154:B1154"/>
    <mergeCell ref="A1155:B1160"/>
    <mergeCell ref="A1126:B1126"/>
    <mergeCell ref="A1127:B1128"/>
    <mergeCell ref="A1135:B1135"/>
    <mergeCell ref="A1137:B1141"/>
    <mergeCell ref="A1143:B1143"/>
    <mergeCell ref="A1130:B1130"/>
    <mergeCell ref="A1134:B1134"/>
    <mergeCell ref="A1136:B1136"/>
    <mergeCell ref="A1132:B1133"/>
    <mergeCell ref="C1132:C1133"/>
    <mergeCell ref="A1087:B1087"/>
    <mergeCell ref="C1011:D1011"/>
    <mergeCell ref="C1090:C1093"/>
    <mergeCell ref="C1014:D1014"/>
    <mergeCell ref="B1036:C1036"/>
    <mergeCell ref="B1026:C1026"/>
    <mergeCell ref="A1089:B1089"/>
    <mergeCell ref="A1077:B1081"/>
    <mergeCell ref="A1129:B1129"/>
    <mergeCell ref="H825:H826"/>
    <mergeCell ref="H830:H831"/>
    <mergeCell ref="H834:H835"/>
    <mergeCell ref="H839:H840"/>
    <mergeCell ref="A1017:E1017"/>
    <mergeCell ref="H792:H793"/>
    <mergeCell ref="H799:H800"/>
    <mergeCell ref="A852:B852"/>
    <mergeCell ref="A1013:B1013"/>
    <mergeCell ref="H820:H821"/>
    <mergeCell ref="H812:H813"/>
    <mergeCell ref="A158:C158"/>
    <mergeCell ref="A168:C168"/>
    <mergeCell ref="A181:C181"/>
    <mergeCell ref="A193:C193"/>
    <mergeCell ref="A200:C200"/>
    <mergeCell ref="B793:C796"/>
    <mergeCell ref="A173:C173"/>
    <mergeCell ref="A340:E340"/>
    <mergeCell ref="H783:H784"/>
    <mergeCell ref="A61:C61"/>
    <mergeCell ref="A106:C106"/>
    <mergeCell ref="A152:E152"/>
    <mergeCell ref="A145:C145"/>
    <mergeCell ref="A36:B36"/>
    <mergeCell ref="C46:D46"/>
    <mergeCell ref="A90:E90"/>
    <mergeCell ref="A76:E76"/>
    <mergeCell ref="A56:E56"/>
    <mergeCell ref="A37:B37"/>
    <mergeCell ref="A13:B13"/>
    <mergeCell ref="C25:D25"/>
    <mergeCell ref="C12:D12"/>
    <mergeCell ref="A14:B14"/>
    <mergeCell ref="C16:D16"/>
    <mergeCell ref="C29:D29"/>
    <mergeCell ref="C19:D19"/>
    <mergeCell ref="A29:B29"/>
    <mergeCell ref="A19:B19"/>
    <mergeCell ref="A15:B15"/>
    <mergeCell ref="C18:D18"/>
    <mergeCell ref="A18:B18"/>
    <mergeCell ref="A9:B9"/>
    <mergeCell ref="A10:B10"/>
    <mergeCell ref="C10:D10"/>
    <mergeCell ref="C11:D11"/>
    <mergeCell ref="C9:D9"/>
    <mergeCell ref="C15:D15"/>
    <mergeCell ref="A12:B12"/>
    <mergeCell ref="C13:D13"/>
    <mergeCell ref="A57:E57"/>
    <mergeCell ref="A33:B33"/>
    <mergeCell ref="A25:B25"/>
    <mergeCell ref="A27:D27"/>
    <mergeCell ref="A28:B28"/>
    <mergeCell ref="A30:B30"/>
    <mergeCell ref="C28:D28"/>
    <mergeCell ref="D31:E31"/>
    <mergeCell ref="A39:B39"/>
    <mergeCell ref="A46:B46"/>
    <mergeCell ref="C21:D21"/>
    <mergeCell ref="A21:B21"/>
    <mergeCell ref="C22:D22"/>
    <mergeCell ref="A22:B22"/>
    <mergeCell ref="C36:D36"/>
    <mergeCell ref="C30:D30"/>
    <mergeCell ref="C24:D24"/>
    <mergeCell ref="A24:B24"/>
    <mergeCell ref="A11:B11"/>
    <mergeCell ref="A1:E1"/>
    <mergeCell ref="A2:C2"/>
    <mergeCell ref="A4:E4"/>
    <mergeCell ref="A3:C3"/>
    <mergeCell ref="A5:D5"/>
    <mergeCell ref="C6:D6"/>
    <mergeCell ref="A6:B6"/>
    <mergeCell ref="A7:B7"/>
    <mergeCell ref="C7:D7"/>
    <mergeCell ref="C54:D54"/>
    <mergeCell ref="C23:D23"/>
    <mergeCell ref="A23:B23"/>
    <mergeCell ref="C42:D42"/>
    <mergeCell ref="A32:D32"/>
    <mergeCell ref="C34:D34"/>
    <mergeCell ref="C33:D33"/>
    <mergeCell ref="A34:B34"/>
    <mergeCell ref="A41:B41"/>
    <mergeCell ref="A51:B51"/>
    <mergeCell ref="A38:B38"/>
    <mergeCell ref="C40:D40"/>
    <mergeCell ref="A42:B42"/>
    <mergeCell ref="A40:B40"/>
    <mergeCell ref="C39:D39"/>
    <mergeCell ref="A48:B48"/>
    <mergeCell ref="C47:D47"/>
    <mergeCell ref="C48:D48"/>
    <mergeCell ref="A54:B54"/>
    <mergeCell ref="A1067:B1067"/>
    <mergeCell ref="A1065:B1065"/>
    <mergeCell ref="A1066:B1066"/>
    <mergeCell ref="B1032:C1032"/>
    <mergeCell ref="C1003:D1003"/>
    <mergeCell ref="C999:D999"/>
    <mergeCell ref="A999:B999"/>
    <mergeCell ref="A1003:B1003"/>
    <mergeCell ref="A55:E55"/>
    <mergeCell ref="A1048:E1048"/>
    <mergeCell ref="A1004:B1004"/>
    <mergeCell ref="C998:D998"/>
    <mergeCell ref="A960:B960"/>
    <mergeCell ref="A1014:B1014"/>
    <mergeCell ref="B1021:C1021"/>
    <mergeCell ref="A996:E996"/>
    <mergeCell ref="A1007:B1007"/>
    <mergeCell ref="A979:B979"/>
    <mergeCell ref="A928:B928"/>
    <mergeCell ref="A1055:E1055"/>
    <mergeCell ref="A1019:E1019"/>
    <mergeCell ref="B1027:C1027"/>
    <mergeCell ref="B1024:C1024"/>
    <mergeCell ref="B1029:C1029"/>
    <mergeCell ref="B1039:C1039"/>
    <mergeCell ref="A1012:B1012"/>
    <mergeCell ref="C1012:D1012"/>
    <mergeCell ref="C1005:D1005"/>
    <mergeCell ref="A1083:B1083"/>
    <mergeCell ref="A1076:B1076"/>
    <mergeCell ref="A1102:B1102"/>
    <mergeCell ref="A1097:B1100"/>
    <mergeCell ref="C1061:C1064"/>
    <mergeCell ref="A1061:B1064"/>
    <mergeCell ref="A1084:B1084"/>
    <mergeCell ref="A1095:B1095"/>
    <mergeCell ref="C1007:D1007"/>
    <mergeCell ref="A935:B935"/>
    <mergeCell ref="C1010:D1010"/>
    <mergeCell ref="A1010:B1010"/>
    <mergeCell ref="C1000:D1000"/>
    <mergeCell ref="A1001:B1001"/>
    <mergeCell ref="A1002:B1002"/>
    <mergeCell ref="C908:C912"/>
    <mergeCell ref="A901:B901"/>
    <mergeCell ref="C1002:D1002"/>
    <mergeCell ref="C902:C904"/>
    <mergeCell ref="A985:B985"/>
    <mergeCell ref="C1004:D1004"/>
    <mergeCell ref="C943:C946"/>
    <mergeCell ref="A907:B907"/>
    <mergeCell ref="A998:B998"/>
    <mergeCell ref="A902:B904"/>
    <mergeCell ref="Q1058:T1058"/>
    <mergeCell ref="H888:H889"/>
    <mergeCell ref="H901:H902"/>
    <mergeCell ref="C929:C932"/>
    <mergeCell ref="H884:H885"/>
    <mergeCell ref="Q841:U842"/>
    <mergeCell ref="H960:H961"/>
    <mergeCell ref="H968:H969"/>
    <mergeCell ref="B1030:C1030"/>
    <mergeCell ref="B1023:C1023"/>
    <mergeCell ref="A845:B845"/>
    <mergeCell ref="A854:B854"/>
    <mergeCell ref="A839:B839"/>
    <mergeCell ref="A830:B830"/>
    <mergeCell ref="A846:B846"/>
    <mergeCell ref="A831:B831"/>
    <mergeCell ref="A847:B850"/>
    <mergeCell ref="A851:B851"/>
    <mergeCell ref="A853:B853"/>
    <mergeCell ref="A110:C110"/>
    <mergeCell ref="H732:H733"/>
    <mergeCell ref="A762:A766"/>
    <mergeCell ref="B762:C766"/>
    <mergeCell ref="B697:C700"/>
    <mergeCell ref="A697:A700"/>
    <mergeCell ref="B755:C758"/>
    <mergeCell ref="A125:E125"/>
    <mergeCell ref="A755:A758"/>
    <mergeCell ref="A447:C447"/>
    <mergeCell ref="H805:H806"/>
    <mergeCell ref="A132:C132"/>
    <mergeCell ref="A139:E139"/>
    <mergeCell ref="A117:E117"/>
    <mergeCell ref="A141:C141"/>
    <mergeCell ref="A1144:B1144"/>
    <mergeCell ref="C1008:D1008"/>
    <mergeCell ref="A1000:B1000"/>
    <mergeCell ref="A1008:B1008"/>
    <mergeCell ref="A915:B915"/>
    <mergeCell ref="C874:C876"/>
    <mergeCell ref="C1195:C1199"/>
    <mergeCell ref="B748:C748"/>
    <mergeCell ref="B725:C725"/>
    <mergeCell ref="C1009:D1009"/>
    <mergeCell ref="C956:C957"/>
    <mergeCell ref="B805:C805"/>
    <mergeCell ref="B784:C789"/>
    <mergeCell ref="B783:C783"/>
    <mergeCell ref="A867:B867"/>
    <mergeCell ref="A874:B876"/>
    <mergeCell ref="A879:B879"/>
    <mergeCell ref="A555:C555"/>
    <mergeCell ref="A826:B827"/>
    <mergeCell ref="A509:C509"/>
    <mergeCell ref="A512:C512"/>
    <mergeCell ref="A520:C520"/>
    <mergeCell ref="A553:E553"/>
    <mergeCell ref="A558:C558"/>
    <mergeCell ref="C847:C850"/>
    <mergeCell ref="B1035:C1035"/>
    <mergeCell ref="B1033:C1033"/>
    <mergeCell ref="B1041:C1041"/>
    <mergeCell ref="A1056:E1056"/>
    <mergeCell ref="A1068:B1073"/>
    <mergeCell ref="C1116:C1123"/>
    <mergeCell ref="C1077:C1081"/>
    <mergeCell ref="A1104:B1104"/>
    <mergeCell ref="A1090:B1093"/>
    <mergeCell ref="B1042:C1042"/>
    <mergeCell ref="A893:B893"/>
    <mergeCell ref="A936:B939"/>
    <mergeCell ref="A891:B891"/>
    <mergeCell ref="A969:B972"/>
    <mergeCell ref="C1006:D1006"/>
    <mergeCell ref="C1127:C1128"/>
    <mergeCell ref="C1013:D1013"/>
    <mergeCell ref="A1075:B1075"/>
    <mergeCell ref="C1068:C1073"/>
    <mergeCell ref="A1046:E1046"/>
    <mergeCell ref="H949:H950"/>
    <mergeCell ref="A445:E445"/>
    <mergeCell ref="H907:H908"/>
    <mergeCell ref="H893:H894"/>
    <mergeCell ref="H853:H854"/>
    <mergeCell ref="B769:C769"/>
    <mergeCell ref="A507:E507"/>
    <mergeCell ref="B739:C739"/>
    <mergeCell ref="A687:C687"/>
    <mergeCell ref="B806:C809"/>
    <mergeCell ref="A1214:B1214"/>
    <mergeCell ref="A1187:B1187"/>
    <mergeCell ref="A1188:B1191"/>
    <mergeCell ref="A1205:B1205"/>
    <mergeCell ref="C1188:C1191"/>
    <mergeCell ref="C1145:C1146"/>
    <mergeCell ref="A1206:B1206"/>
    <mergeCell ref="C1155:C1160"/>
    <mergeCell ref="A1179:B1179"/>
    <mergeCell ref="A1203:B1203"/>
    <mergeCell ref="A888:B888"/>
    <mergeCell ref="A1116:B1123"/>
    <mergeCell ref="A1153:B1153"/>
    <mergeCell ref="A892:B892"/>
    <mergeCell ref="A1185:B1185"/>
    <mergeCell ref="A1009:B1009"/>
    <mergeCell ref="A1005:B1005"/>
    <mergeCell ref="A997:B997"/>
    <mergeCell ref="A1114:B1114"/>
    <mergeCell ref="A1015:B1015"/>
    <mergeCell ref="A50:B50"/>
    <mergeCell ref="C50:D50"/>
    <mergeCell ref="A119:C119"/>
    <mergeCell ref="A78:C78"/>
    <mergeCell ref="A254:C254"/>
    <mergeCell ref="A220:C220"/>
    <mergeCell ref="A81:C81"/>
    <mergeCell ref="A104:E104"/>
    <mergeCell ref="C53:D53"/>
    <mergeCell ref="A127:C127"/>
    <mergeCell ref="H1256:H1257"/>
    <mergeCell ref="A92:C92"/>
    <mergeCell ref="A249:E249"/>
    <mergeCell ref="C1237:C1239"/>
    <mergeCell ref="A784:A789"/>
    <mergeCell ref="A1237:B1239"/>
    <mergeCell ref="A482:C482"/>
    <mergeCell ref="A927:B927"/>
    <mergeCell ref="C936:C939"/>
    <mergeCell ref="A884:B884"/>
    <mergeCell ref="C1257:C1259"/>
    <mergeCell ref="A1257:B1259"/>
    <mergeCell ref="A1213:B1213"/>
    <mergeCell ref="A1215:B1216"/>
    <mergeCell ref="B754:C754"/>
    <mergeCell ref="B777:C780"/>
    <mergeCell ref="A825:B825"/>
    <mergeCell ref="A984:B984"/>
    <mergeCell ref="A929:B932"/>
    <mergeCell ref="A889:B890"/>
    <mergeCell ref="A1256:B1256"/>
    <mergeCell ref="B703:C703"/>
    <mergeCell ref="A908:B912"/>
    <mergeCell ref="C1137:C1141"/>
    <mergeCell ref="A1225:B1225"/>
    <mergeCell ref="A1255:B1255"/>
    <mergeCell ref="C1215:C1216"/>
    <mergeCell ref="A1218:B1218"/>
    <mergeCell ref="C997:D997"/>
    <mergeCell ref="A1107:B1107"/>
    <mergeCell ref="A53:B53"/>
    <mergeCell ref="A489:C489"/>
    <mergeCell ref="A494:C494"/>
    <mergeCell ref="A502:C502"/>
    <mergeCell ref="A475:C475"/>
    <mergeCell ref="A487:E487"/>
    <mergeCell ref="A461:C461"/>
    <mergeCell ref="A166:E166"/>
    <mergeCell ref="A96:C96"/>
    <mergeCell ref="A271:C271"/>
    <mergeCell ref="A531:C531"/>
    <mergeCell ref="A538:E538"/>
    <mergeCell ref="A540:C540"/>
    <mergeCell ref="A251:C251"/>
    <mergeCell ref="A544:C544"/>
    <mergeCell ref="A347:C347"/>
    <mergeCell ref="A342:C342"/>
    <mergeCell ref="A527:C527"/>
    <mergeCell ref="A310:E310"/>
    <mergeCell ref="A276:E276"/>
    <mergeCell ref="A639:E639"/>
    <mergeCell ref="A641:C641"/>
    <mergeCell ref="A646:C646"/>
    <mergeCell ref="A567:C567"/>
    <mergeCell ref="A591:E591"/>
    <mergeCell ref="A593:C593"/>
    <mergeCell ref="A624:C624"/>
    <mergeCell ref="A629:C629"/>
    <mergeCell ref="A617:C617"/>
    <mergeCell ref="A609:C609"/>
    <mergeCell ref="H992:H993"/>
    <mergeCell ref="H979:H980"/>
    <mergeCell ref="H846:H847"/>
    <mergeCell ref="A992:B992"/>
    <mergeCell ref="A993:B994"/>
    <mergeCell ref="C993:C994"/>
    <mergeCell ref="C969:C972"/>
    <mergeCell ref="A943:B946"/>
    <mergeCell ref="A857:B857"/>
    <mergeCell ref="A894:B898"/>
  </mergeCells>
  <printOptions horizontalCentered="1"/>
  <pageMargins left="0.196850393700787" right="0.196850393700787" top="0.0393700787401575" bottom="0.236220472440945" header="0.31496062992126" footer="0.31496062992126"/>
  <pageSetup fitToHeight="0" fitToWidth="1" horizontalDpi="600" verticalDpi="600" orientation="portrait" paperSize="9" scale="64" r:id="rId1"/>
  <headerFooter alignWithMargins="0">
    <oddHeader>&amp;R&amp;P</oddHeader>
    <oddFooter>&amp;L&amp;14A.O. / Disposal&amp;C&amp;14Sr.XEN. / Disposal&amp;R&amp;14COS and D ( South), PTA</oddFooter>
  </headerFooter>
  <rowBreaks count="17" manualBreakCount="17">
    <brk id="67" max="4" man="1"/>
    <brk id="131" max="4" man="1"/>
    <brk id="199" max="4" man="1"/>
    <brk id="260" max="4" man="1"/>
    <brk id="315" max="4" man="1"/>
    <brk id="375" max="4" man="1"/>
    <brk id="443" max="4" man="1"/>
    <brk id="505" max="4" man="1"/>
    <brk id="570" max="4" man="1"/>
    <brk id="637" max="4" man="1"/>
    <brk id="707" max="4" man="1"/>
    <brk id="789" max="4" man="1"/>
    <brk id="870" max="4" man="1"/>
    <brk id="952" max="4" man="1"/>
    <brk id="1036" max="4" man="1"/>
    <brk id="1112" max="4" man="1"/>
    <brk id="119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93" zoomScaleSheetLayoutView="93" zoomScalePageLayoutView="0" workbookViewId="0" topLeftCell="A1">
      <selection activeCell="E19" sqref="E19"/>
    </sheetView>
  </sheetViews>
  <sheetFormatPr defaultColWidth="9.140625" defaultRowHeight="12.75"/>
  <cols>
    <col min="1" max="1" width="23.140625" style="0" customWidth="1"/>
    <col min="2" max="2" width="69.8515625" style="24" customWidth="1"/>
    <col min="3" max="3" width="24.8515625" style="0" customWidth="1"/>
    <col min="4" max="4" width="9.7109375" style="0" hidden="1" customWidth="1"/>
    <col min="5" max="5" width="119.7109375" style="0" customWidth="1"/>
  </cols>
  <sheetData>
    <row r="1" spans="1:3" ht="18">
      <c r="A1" s="380" t="s">
        <v>84</v>
      </c>
      <c r="B1" s="380"/>
      <c r="C1" s="380"/>
    </row>
    <row r="2" spans="1:2" ht="12.75">
      <c r="A2" s="29" t="str">
        <f>scrap!A2</f>
        <v>E - Auction Notice No. -</v>
      </c>
      <c r="B2" s="28" t="str">
        <f>scrap!D2</f>
        <v>EA-71 /PTA-2023-24</v>
      </c>
    </row>
    <row r="3" spans="1:2" ht="12.75">
      <c r="A3" s="29" t="str">
        <f>scrap!A3</f>
        <v>Date of Auction -</v>
      </c>
      <c r="B3" s="28" t="str">
        <f>scrap!D3</f>
        <v>20.02.2024</v>
      </c>
    </row>
    <row r="4" spans="1:2" ht="12.75">
      <c r="A4" s="29"/>
      <c r="B4" s="28"/>
    </row>
    <row r="5" spans="1:3" s="25" customFormat="1" ht="20.25" customHeight="1">
      <c r="A5" s="78" t="s">
        <v>5</v>
      </c>
      <c r="B5" s="152" t="s">
        <v>81</v>
      </c>
      <c r="C5" s="151" t="s">
        <v>82</v>
      </c>
    </row>
    <row r="6" spans="1:5" s="25" customFormat="1" ht="20.25" customHeight="1">
      <c r="A6" s="85" t="s">
        <v>546</v>
      </c>
      <c r="B6" s="104" t="s">
        <v>160</v>
      </c>
      <c r="C6" s="45">
        <v>343</v>
      </c>
      <c r="D6" s="238"/>
      <c r="E6" s="101" t="str">
        <f aca="true" t="shared" si="0" ref="E6:E14">CONCATENATE("E-Waste Scrap (Meter scrap), Lying at ",B6,". Quantity in Kg - ",C6,)</f>
        <v>E-Waste Scrap (Meter scrap), Lying at ME LAB PATIALA (Crushed Meter Scrap/E-Waste). Quantity in Kg - 343</v>
      </c>
    </row>
    <row r="7" spans="1:5" s="25" customFormat="1" ht="20.25" customHeight="1">
      <c r="A7" s="85" t="s">
        <v>271</v>
      </c>
      <c r="B7" s="104" t="s">
        <v>152</v>
      </c>
      <c r="C7" s="45">
        <v>1025</v>
      </c>
      <c r="D7" s="132"/>
      <c r="E7" s="101" t="str">
        <f t="shared" si="0"/>
        <v>E-Waste Scrap (Meter scrap), Lying at ME LAB SANGRUR (Crushed Meter Scrap/E-Waste). Quantity in Kg - 1025</v>
      </c>
    </row>
    <row r="8" spans="1:5" s="25" customFormat="1" ht="20.25" customHeight="1">
      <c r="A8" s="85" t="s">
        <v>272</v>
      </c>
      <c r="B8" s="104" t="s">
        <v>153</v>
      </c>
      <c r="C8" s="45">
        <v>181</v>
      </c>
      <c r="D8" s="132"/>
      <c r="E8" s="101" t="str">
        <f t="shared" si="0"/>
        <v>E-Waste Scrap (Meter scrap), Lying at ME LAB ROPAR (Crushed Meter Scrap/E-Waste). Quantity in Kg - 181</v>
      </c>
    </row>
    <row r="9" spans="1:5" s="25" customFormat="1" ht="20.25" customHeight="1">
      <c r="A9" s="85" t="s">
        <v>273</v>
      </c>
      <c r="B9" s="104" t="s">
        <v>269</v>
      </c>
      <c r="C9" s="45">
        <v>625.39</v>
      </c>
      <c r="D9" s="132"/>
      <c r="E9" s="101" t="str">
        <f t="shared" si="0"/>
        <v>E-Waste Scrap (Meter scrap), Lying at ME LAB MOGA (Crushed Meter Scrap/E-Waste). Quantity in Kg - 625.39</v>
      </c>
    </row>
    <row r="10" spans="1:5" s="25" customFormat="1" ht="20.25" customHeight="1">
      <c r="A10" s="85" t="s">
        <v>274</v>
      </c>
      <c r="B10" s="104" t="s">
        <v>270</v>
      </c>
      <c r="C10" s="45">
        <v>1364.12</v>
      </c>
      <c r="D10" s="132"/>
      <c r="E10" s="101" t="str">
        <f t="shared" si="0"/>
        <v>E-Waste Scrap (Meter scrap), Lying at ME LAB SHRI MUKTSAR SAHIB (Crushed Meter Scrap/E-Waste). Quantity in Kg - 1364.12</v>
      </c>
    </row>
    <row r="11" spans="1:5" s="25" customFormat="1" ht="20.25" customHeight="1">
      <c r="A11" s="85" t="s">
        <v>275</v>
      </c>
      <c r="B11" s="106" t="s">
        <v>356</v>
      </c>
      <c r="C11" s="72">
        <v>1800</v>
      </c>
      <c r="D11" s="132"/>
      <c r="E11" s="101" t="str">
        <f t="shared" si="0"/>
        <v>E-Waste Scrap (Meter scrap), Lying at ME LAB ROPAR  (Electronic Meter Scrap/E-Waste )  . Quantity in Kg - 1800</v>
      </c>
    </row>
    <row r="12" spans="1:5" s="25" customFormat="1" ht="20.25" customHeight="1">
      <c r="A12" s="85" t="s">
        <v>313</v>
      </c>
      <c r="B12" s="236" t="s">
        <v>363</v>
      </c>
      <c r="C12" s="237">
        <v>1565.45</v>
      </c>
      <c r="D12" s="278">
        <v>1125.45</v>
      </c>
      <c r="E12" s="101" t="str">
        <f t="shared" si="0"/>
        <v>E-Waste Scrap (Meter scrap), Lying at ME LAB BATHINDA  (Electronic Meter Scrap/E-Waste )  . Quantity in Kg - 1565.45</v>
      </c>
    </row>
    <row r="13" spans="1:5" s="25" customFormat="1" ht="20.25" customHeight="1">
      <c r="A13" s="85" t="s">
        <v>352</v>
      </c>
      <c r="B13" s="236" t="s">
        <v>364</v>
      </c>
      <c r="C13" s="237">
        <v>1735.331</v>
      </c>
      <c r="D13" s="278">
        <v>1294.926</v>
      </c>
      <c r="E13" s="101" t="str">
        <f t="shared" si="0"/>
        <v>E-Waste Scrap (Meter scrap), Lying at ME LAB MOGA (Electronic Meter Scrap/E-Waste )  . Quantity in Kg - 1735.331</v>
      </c>
    </row>
    <row r="14" spans="1:5" s="25" customFormat="1" ht="20.25" customHeight="1">
      <c r="A14" s="85" t="s">
        <v>353</v>
      </c>
      <c r="B14" s="236" t="s">
        <v>682</v>
      </c>
      <c r="C14" s="237">
        <v>1124.265</v>
      </c>
      <c r="D14" s="132">
        <v>903.265</v>
      </c>
      <c r="E14" s="101" t="str">
        <f t="shared" si="0"/>
        <v>E-Waste Scrap (Meter scrap), Lying at ME LAB SHRI MUKTSAR SAHIB (Electronic Meter Scrap/E-Waste )  . Quantity in Kg - 1124.265</v>
      </c>
    </row>
    <row r="15" spans="1:5" s="25" customFormat="1" ht="20.25" customHeight="1">
      <c r="A15" s="141"/>
      <c r="B15" s="84"/>
      <c r="C15" s="142"/>
      <c r="D15" s="143"/>
      <c r="E15" s="144"/>
    </row>
    <row r="16" spans="1:5" s="25" customFormat="1" ht="37.5" customHeight="1">
      <c r="A16" s="381" t="s">
        <v>341</v>
      </c>
      <c r="B16" s="381"/>
      <c r="C16" s="381"/>
      <c r="D16" s="145"/>
      <c r="E16" s="146"/>
    </row>
    <row r="17" spans="1:5" s="25" customFormat="1" ht="20.25" customHeight="1">
      <c r="A17" s="381"/>
      <c r="B17" s="381"/>
      <c r="C17" s="381"/>
      <c r="D17" s="146"/>
      <c r="E17" s="146"/>
    </row>
    <row r="18" spans="1:5" s="25" customFormat="1" ht="39.75" customHeight="1">
      <c r="A18" s="381"/>
      <c r="B18" s="381"/>
      <c r="C18" s="381"/>
      <c r="D18" s="143"/>
      <c r="E18" s="144"/>
    </row>
    <row r="19" spans="1:5" s="25" customFormat="1" ht="15" customHeight="1">
      <c r="A19" s="147"/>
      <c r="B19" s="150" t="s">
        <v>214</v>
      </c>
      <c r="C19" s="151" t="s">
        <v>340</v>
      </c>
      <c r="D19" s="143"/>
      <c r="E19" s="144"/>
    </row>
    <row r="20" spans="1:5" s="25" customFormat="1" ht="20.25" customHeight="1">
      <c r="A20" s="85" t="s">
        <v>354</v>
      </c>
      <c r="B20" s="106" t="s">
        <v>338</v>
      </c>
      <c r="C20" s="148">
        <v>1</v>
      </c>
      <c r="D20" s="132"/>
      <c r="E20" s="101" t="str">
        <f>CONCATENATE("E-Waste Scrap (U/S AC WINDOW), Lying at ",B20,". Quantity in No - ",C20,)</f>
        <v>E-Waste Scrap (U/S AC WINDOW), Lying at CS SANGRUR (U/S AC WINDOW). Quantity in No - 1</v>
      </c>
    </row>
    <row r="21" spans="1:5" s="25" customFormat="1" ht="20.25" customHeight="1">
      <c r="A21" s="85" t="s">
        <v>365</v>
      </c>
      <c r="B21" s="106" t="s">
        <v>339</v>
      </c>
      <c r="C21" s="148">
        <v>16</v>
      </c>
      <c r="D21" s="132"/>
      <c r="E21" s="101" t="str">
        <f>CONCATENATE("E-Waste Scrap (U/S AC WINDOW), Lying at ",B21,". Quantity in No - ",C21,)</f>
        <v>E-Waste Scrap (U/S AC WINDOW), Lying at CS PATIALA  (U/S AC WINDOW). Quantity in No - 16</v>
      </c>
    </row>
    <row r="22" spans="1:5" s="25" customFormat="1" ht="20.25" customHeight="1">
      <c r="A22" s="85" t="s">
        <v>366</v>
      </c>
      <c r="B22" s="106" t="s">
        <v>349</v>
      </c>
      <c r="C22" s="148">
        <v>19</v>
      </c>
      <c r="D22" s="132"/>
      <c r="E22" s="101" t="str">
        <f>CONCATENATE("E-Waste Scrap (U/S STABLIZERS), Lying at ",B22,". Quantity in No - ",C22,)</f>
        <v>E-Waste Scrap (U/S STABLIZERS), Lying at CS PATIALA  (U/S STABLIZERS). Quantity in No - 19</v>
      </c>
    </row>
    <row r="23" spans="1:5" s="25" customFormat="1" ht="20.25" customHeight="1">
      <c r="A23" s="85" t="s">
        <v>582</v>
      </c>
      <c r="B23" s="106" t="s">
        <v>544</v>
      </c>
      <c r="C23" s="148">
        <v>5</v>
      </c>
      <c r="D23" s="132"/>
      <c r="E23" s="101" t="str">
        <f>CONCATENATE("E-Waste Scrap (U/S AC SPLIT), Lying at ",B23,". Quantity in No - ",C23,)</f>
        <v>E-Waste Scrap (U/S AC SPLIT), Lying at CS PATIALA  (U/S AC SPLIT). Quantity in No - 5</v>
      </c>
    </row>
    <row r="24" spans="1:5" s="25" customFormat="1" ht="20.25" customHeight="1">
      <c r="A24" s="85" t="s">
        <v>683</v>
      </c>
      <c r="B24" s="106" t="s">
        <v>581</v>
      </c>
      <c r="C24" s="148">
        <v>1</v>
      </c>
      <c r="D24" s="143"/>
      <c r="E24" s="101" t="str">
        <f>CONCATENATE("E-Waste Scrap (U/S AC WINDOW ), Lying at ",B24,". Quantity in No - ",C24,)</f>
        <v>E-Waste Scrap (U/S AC WINDOW ), Lying at CS KOTKAPURA (U/S AC WINDOW). Quantity in No - 1</v>
      </c>
    </row>
    <row r="25" spans="1:5" s="25" customFormat="1" ht="20.25" customHeight="1">
      <c r="A25" s="141"/>
      <c r="B25" s="154"/>
      <c r="C25" s="153"/>
      <c r="D25" s="143"/>
      <c r="E25" s="144"/>
    </row>
    <row r="26" spans="1:3" s="25" customFormat="1" ht="15" customHeight="1">
      <c r="A26" s="35"/>
      <c r="B26" s="36"/>
      <c r="C26" s="84"/>
    </row>
    <row r="27" spans="1:3" s="25" customFormat="1" ht="15.75">
      <c r="A27" s="30" t="s">
        <v>83</v>
      </c>
      <c r="B27" s="31" t="s">
        <v>87</v>
      </c>
      <c r="C27" s="32" t="s">
        <v>86</v>
      </c>
    </row>
    <row r="28" spans="1:3" s="25" customFormat="1" ht="15.75">
      <c r="A28" s="30" t="s">
        <v>85</v>
      </c>
      <c r="B28" s="30" t="s">
        <v>85</v>
      </c>
      <c r="C28" s="30" t="s">
        <v>85</v>
      </c>
    </row>
    <row r="29" spans="1:3" s="25" customFormat="1" ht="15">
      <c r="A29" s="26"/>
      <c r="B29" s="27"/>
      <c r="C29" s="26"/>
    </row>
  </sheetData>
  <sheetProtection/>
  <mergeCells count="2">
    <mergeCell ref="A1:C1"/>
    <mergeCell ref="A16:C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Rajiv</dc:creator>
  <cp:keywords/>
  <dc:description/>
  <cp:lastModifiedBy>Administrator</cp:lastModifiedBy>
  <cp:lastPrinted>2024-02-15T10:11:27Z</cp:lastPrinted>
  <dcterms:created xsi:type="dcterms:W3CDTF">1996-10-14T23:33:28Z</dcterms:created>
  <dcterms:modified xsi:type="dcterms:W3CDTF">2024-02-16T09:33:18Z</dcterms:modified>
  <cp:category/>
  <cp:version/>
  <cp:contentType/>
  <cp:contentStatus/>
</cp:coreProperties>
</file>