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765" tabRatio="911" activeTab="0"/>
  </bookViews>
  <sheets>
    <sheet name="scrap" sheetId="1" r:id="rId1"/>
    <sheet name="E-WASTE" sheetId="2" r:id="rId2"/>
  </sheets>
  <definedNames>
    <definedName name="_xlnm.Print_Area" localSheetId="0">'scrap'!$A$1:$E$745</definedName>
  </definedNames>
  <calcPr fullCalcOnLoad="1"/>
</workbook>
</file>

<file path=xl/sharedStrings.xml><?xml version="1.0" encoding="utf-8"?>
<sst xmlns="http://schemas.openxmlformats.org/spreadsheetml/2006/main" count="1236" uniqueCount="458">
  <si>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</si>
  <si>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</si>
  <si>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</si>
  <si>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</si>
  <si>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</si>
  <si>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</si>
  <si>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</si>
  <si>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</si>
  <si>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</si>
  <si>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</si>
  <si>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</si>
  <si>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</si>
  <si>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</si>
  <si>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</si>
  <si>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</si>
  <si>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</si>
  <si>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</si>
  <si>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</si>
  <si>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</si>
  <si>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</si>
  <si>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</si>
  <si>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</si>
  <si>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</si>
  <si>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</si>
  <si>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</si>
  <si>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</si>
  <si>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</si>
  <si>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</si>
  <si>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</si>
  <si>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</si>
  <si>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</si>
  <si>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</si>
  <si>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</si>
  <si>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</si>
  <si>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</si>
  <si>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</si>
  <si>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</si>
  <si>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</si>
  <si>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</si>
  <si>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</si>
  <si>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</si>
  <si>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</si>
  <si>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</si>
  <si>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</si>
  <si>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</si>
  <si>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</si>
  <si>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</si>
  <si>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Burnt copper scrap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</si>
  <si>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</si>
  <si>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</si>
  <si>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</si>
  <si>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</si>
  <si>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Lot no. Q-9</t>
  </si>
  <si>
    <t>CS Patiala</t>
  </si>
  <si>
    <t>Lot no. Q-11</t>
  </si>
  <si>
    <t>Pilot Workshop Mohali</t>
  </si>
  <si>
    <t>HT Wire scrap &amp; other intermingled iron scrap</t>
  </si>
  <si>
    <t>MS iron scrap ( MS sections, scrapped T&amp;P etc)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</si>
  <si>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</si>
  <si>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</si>
  <si>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</si>
  <si>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</si>
  <si>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</si>
  <si>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</si>
  <si>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</si>
  <si>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</si>
  <si>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</si>
  <si>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</si>
  <si>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</si>
  <si>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</si>
  <si>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</si>
  <si>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</si>
  <si>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</si>
  <si>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</si>
  <si>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</si>
  <si>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</si>
  <si>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</si>
  <si>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</si>
  <si>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</si>
  <si>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</si>
  <si>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</si>
  <si>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</si>
  <si>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</si>
  <si>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</si>
  <si>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</si>
  <si>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</si>
  <si>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</si>
  <si>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</si>
  <si>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</si>
  <si>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</si>
  <si>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</si>
  <si>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</si>
  <si>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</si>
  <si>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</si>
  <si>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</si>
  <si>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</si>
  <si>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</si>
  <si>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</si>
  <si>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</si>
  <si>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</si>
  <si>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</si>
  <si>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</si>
  <si>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</si>
  <si>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</si>
  <si>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store Nabha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</si>
  <si>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</si>
  <si>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</si>
  <si>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</si>
  <si>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</si>
  <si>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</si>
  <si>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</si>
  <si>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</si>
  <si>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</si>
  <si>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</si>
  <si>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</si>
  <si>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</si>
  <si>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</si>
  <si>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</si>
  <si>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</si>
  <si>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</si>
  <si>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</si>
  <si>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</si>
  <si>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</si>
  <si>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</si>
  <si>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</si>
  <si>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</si>
  <si>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</si>
  <si>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</si>
  <si>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</si>
  <si>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</si>
  <si>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</si>
  <si>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</si>
  <si>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</si>
  <si>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Lot no. G - 6</t>
  </si>
  <si>
    <t>TRY Bhagta Bhai Ka</t>
  </si>
  <si>
    <t>Lot no. Q-16</t>
  </si>
  <si>
    <t>Lot no. Q-17</t>
  </si>
  <si>
    <t>TRY Sangrur</t>
  </si>
  <si>
    <t>TRY Patran</t>
  </si>
  <si>
    <t>Lot no. G - 7</t>
  </si>
  <si>
    <t>Lot no. G - 8</t>
  </si>
  <si>
    <t>Lot no. G - 9</t>
  </si>
  <si>
    <t>Lot no. G - 10</t>
  </si>
  <si>
    <t>Lot no. Q-18</t>
  </si>
  <si>
    <t>Earthwire GSL scrap</t>
  </si>
  <si>
    <t>TRY Ropar</t>
  </si>
  <si>
    <t>Lot no. G - 11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</si>
  <si>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</si>
  <si>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</si>
  <si>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</si>
  <si>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</si>
  <si>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</si>
  <si>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</si>
  <si>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</si>
  <si>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</si>
  <si>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</si>
  <si>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</si>
  <si>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</si>
  <si>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</si>
  <si>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</si>
  <si>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>Lot No B-5</t>
  </si>
  <si>
    <t>Central Store Patiala</t>
  </si>
  <si>
    <t>ME LAB PATIALA (Crushed Meter Scrap/E-Waste)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</si>
  <si>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</si>
  <si>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</si>
  <si>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</si>
  <si>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</si>
  <si>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</si>
  <si>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</si>
  <si>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</si>
  <si>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</si>
  <si>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</si>
  <si>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</si>
  <si>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</si>
  <si>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</si>
  <si>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</si>
  <si>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D-12</t>
  </si>
  <si>
    <t>Lot no. E - 9</t>
  </si>
  <si>
    <t>Lot no. E - 14</t>
  </si>
  <si>
    <t>Lot no. E - 15</t>
  </si>
  <si>
    <t>Lot No A-4</t>
  </si>
  <si>
    <t>Outlet store Malerkotla</t>
  </si>
  <si>
    <t>Lot No A-6</t>
  </si>
  <si>
    <t>Outlet store Patran</t>
  </si>
  <si>
    <t>Outlet store Barnala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</si>
  <si>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</si>
  <si>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</si>
  <si>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</si>
  <si>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</si>
  <si>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</si>
  <si>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</si>
  <si>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</si>
  <si>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</si>
  <si>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</si>
  <si>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Lot no. E - 18</t>
  </si>
  <si>
    <t>G.I. scrap</t>
  </si>
  <si>
    <t>Lot no. Q-23</t>
  </si>
  <si>
    <t>Lot no. Q-24</t>
  </si>
  <si>
    <t>Lot no. Q-19</t>
  </si>
  <si>
    <t>Lot no. I-3</t>
  </si>
  <si>
    <t>G.I. Scrap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</si>
  <si>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</si>
  <si>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</si>
  <si>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</si>
  <si>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</si>
  <si>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</si>
  <si>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</si>
  <si>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</si>
  <si>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</si>
  <si>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E - 12</t>
  </si>
  <si>
    <t>Lot no. E - 13</t>
  </si>
  <si>
    <t>Central Store Sangrur</t>
  </si>
  <si>
    <t>Lot no. Q-21</t>
  </si>
  <si>
    <t>Lot no. D-14</t>
  </si>
  <si>
    <t>Lot no. E - 19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</si>
  <si>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</si>
  <si>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</si>
  <si>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</si>
  <si>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</si>
  <si>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</si>
  <si>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</si>
  <si>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</si>
  <si>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</si>
  <si>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</si>
  <si>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</si>
  <si>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</si>
  <si>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</si>
  <si>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</si>
  <si>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</si>
  <si>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</si>
  <si>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</si>
  <si>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</si>
  <si>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</si>
  <si>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</si>
  <si>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Nabha</t>
  </si>
  <si>
    <t>Outlet store Rajpura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</si>
  <si>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</si>
  <si>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</si>
  <si>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</si>
  <si>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</si>
  <si>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</si>
  <si>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</si>
  <si>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 (unstandard tf's)</t>
  </si>
  <si>
    <t>WNP-1 (unstandard tf's)</t>
  </si>
  <si>
    <t>WNP-3 (unstandard tf's)</t>
  </si>
  <si>
    <t>63 KVA</t>
  </si>
  <si>
    <t>NEW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</si>
  <si>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</si>
  <si>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Lot no. D-13</t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</si>
  <si>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</si>
  <si>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</si>
  <si>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</si>
  <si>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</si>
  <si>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</si>
  <si>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</si>
  <si>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</si>
  <si>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Lot no. D-15</t>
  </si>
  <si>
    <t>Lot no. D-16</t>
  </si>
  <si>
    <t xml:space="preserve"> 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</si>
  <si>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</si>
  <si>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</si>
  <si>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</si>
  <si>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</si>
  <si>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</si>
  <si>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</si>
  <si>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</si>
  <si>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t>PTEL-1</t>
  </si>
  <si>
    <t>Outlet store Fazilka</t>
  </si>
  <si>
    <t>Lot No B-10</t>
  </si>
  <si>
    <t>Lot No B-11</t>
  </si>
  <si>
    <t>Lot no. D17</t>
  </si>
  <si>
    <t>Lot no. Q-27</t>
  </si>
  <si>
    <t>Outlet store Moga</t>
  </si>
  <si>
    <t>Lot No A-12</t>
  </si>
  <si>
    <t>Lot no. D18</t>
  </si>
  <si>
    <t>OL Moga</t>
  </si>
  <si>
    <t>Lot no. Q-28</t>
  </si>
  <si>
    <t>ME LAB MOGA (Crushed Meter Scrap/E-Waste)</t>
  </si>
  <si>
    <t>ME LAB SHRI MUKTSAR SAHIB (Crushed Meter Scrap/E-Waste)</t>
  </si>
  <si>
    <t>Lot No. I-10</t>
  </si>
  <si>
    <t>Lot No. I-11</t>
  </si>
  <si>
    <t>Lot No. I-12</t>
  </si>
  <si>
    <t>Lot No. I-13</t>
  </si>
  <si>
    <t>Lot No. I-14</t>
  </si>
  <si>
    <t>Lot no. I-5</t>
  </si>
  <si>
    <t>Empty steel drums (cap.209 ltr.)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</si>
  <si>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</si>
  <si>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</si>
  <si>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</si>
  <si>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</si>
  <si>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</si>
  <si>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</si>
  <si>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</si>
  <si>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G)  Wooden scrap (without iron parts) lying as per detail given below:-</t>
  </si>
  <si>
    <t>CS Mohali (.314 MT intermingle)</t>
  </si>
  <si>
    <t>PP-1, SICL-1, MCPL-1</t>
  </si>
  <si>
    <t>SARAF-1, SICL-2, PP-1, NUCON-1,DURA-2, SHIVALIK-3</t>
  </si>
  <si>
    <t>WNP-8  (unstandard tf's)</t>
  </si>
  <si>
    <t>Outlet store Bhagta Bhai Ka</t>
  </si>
  <si>
    <t>Central Store Bathinda</t>
  </si>
  <si>
    <t>Lot no. I-6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</si>
  <si>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</si>
  <si>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DAUSA - 1, PTEL - 1, SIC-1</t>
  </si>
  <si>
    <t>SARAF - 2, PP - 1</t>
  </si>
  <si>
    <t>WNP-14 (unstandard tf's)</t>
  </si>
  <si>
    <t>WNP-7 (unstandard tf's)</t>
  </si>
  <si>
    <r>
      <t xml:space="preserve">Lot No. C 10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</si>
  <si>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SHIVALIK-1</t>
  </si>
  <si>
    <t>SICL-1, AGGARWAL-1, SHIVALIK-4</t>
  </si>
  <si>
    <t>JB-1</t>
  </si>
  <si>
    <t>WNP-10  (unstandard tf's)</t>
  </si>
  <si>
    <t>WNP-5 (unstandard tf's)</t>
  </si>
  <si>
    <t>WNP-2 (unstandard tf's)</t>
  </si>
  <si>
    <t>SICL-3, PTEL-2, PP-1, JB-1, ECO-1, NBGL-1, NUCON-1, SHIVALIK-11</t>
  </si>
  <si>
    <t>PTEL-3, PP-3</t>
  </si>
  <si>
    <t>SICL-2</t>
  </si>
  <si>
    <t>ECO-1, SICL-1</t>
  </si>
  <si>
    <t>Lot No B-12</t>
  </si>
  <si>
    <t xml:space="preserve"> WNP=25 (unstandard tf's)</t>
  </si>
  <si>
    <t xml:space="preserve"> WNP=29 (unstandard tf's)</t>
  </si>
  <si>
    <t>NUCON-2</t>
  </si>
  <si>
    <t>NUCON-1,SHIVALIK-1,PAN-2,JR-2,PUNJAB-1,ASI-1</t>
  </si>
  <si>
    <t>SARAF-1,JB-2,PTEL-1</t>
  </si>
  <si>
    <t>SHIV BHOLE/PTEL-1, IACL/TA-1, STAR/PTEL-1</t>
  </si>
  <si>
    <t>DM/TA-1, GOYMA/PTEL-1, PP-1</t>
  </si>
  <si>
    <t>Lot No A-13</t>
  </si>
  <si>
    <t>Lot No A-14</t>
  </si>
  <si>
    <t>new</t>
  </si>
  <si>
    <t>Lot no. E - 16</t>
  </si>
  <si>
    <t>S &amp; T Store Bathinda ( .465 MT intermingle )</t>
  </si>
  <si>
    <t>Lot no. Q-29</t>
  </si>
  <si>
    <t>Lot No A-15</t>
  </si>
  <si>
    <t>Lot No A-16</t>
  </si>
  <si>
    <t>Lot No A-17</t>
  </si>
  <si>
    <t>Central Store Malout</t>
  </si>
  <si>
    <t>Lot no. I-7</t>
  </si>
  <si>
    <t>CS Bathinda (.095 MT intermingle)</t>
  </si>
  <si>
    <t>OL Shri Mukfsar Sahib</t>
  </si>
  <si>
    <t>Lot no. Q-30</t>
  </si>
  <si>
    <t>CS Ferozepur( .004 MT intermingle )</t>
  </si>
  <si>
    <t xml:space="preserve">ME LAB SHRI MUKSAR SAHIB  (Electronic Meter Scrap/E-Waste )  </t>
  </si>
  <si>
    <t>Lot No. I-15</t>
  </si>
  <si>
    <t>TRY Barnala</t>
  </si>
  <si>
    <t>Lot no. Q-31</t>
  </si>
  <si>
    <t>Lot no. Q-32</t>
  </si>
  <si>
    <t>Lot No A-18</t>
  </si>
  <si>
    <t>CS Patiala (.025 MT intermingle )</t>
  </si>
  <si>
    <t>ARDISON-1,SKYWAY-1,UTTAM-2</t>
  </si>
  <si>
    <t>NUCON-1,MS-1</t>
  </si>
  <si>
    <t xml:space="preserve"> WNP=19 (unstandard tf's)</t>
  </si>
  <si>
    <t>ARD-1,WNP-19 ( unstandard tf's)</t>
  </si>
  <si>
    <t>JB-1,WNP-11 (unstandard tf's)</t>
  </si>
  <si>
    <t>Alu.  seals scrap with lash wire</t>
  </si>
  <si>
    <t>Lot no. I-8</t>
  </si>
  <si>
    <t>Lot No A-19</t>
  </si>
  <si>
    <t>KKK/2023/157</t>
  </si>
  <si>
    <t xml:space="preserve">NPC = 2, HRP = 2, JK = 1, MRN = 1, JB = 3, DTPL = 3, PP = 1, SIC = 1, JR = 1, WNP = 1, SHK = 1, SSK = 1, TA = 1, PTEL = 1                </t>
  </si>
  <si>
    <t>KKK/2023/160</t>
  </si>
  <si>
    <t xml:space="preserve">DTPL = 6, JB = 1, ASI = 2, PP = 2, SUSHIL = 1, MUSKAN = 1,  HTT = 1, UBE = 1, JR = 2, WNP = 1                                                      </t>
  </si>
  <si>
    <t>KKK/2023/162</t>
  </si>
  <si>
    <t xml:space="preserve">UBE = 1, PP = 2, SKSU = 1, NSL = 1, TA = 1, NPC = 1                </t>
  </si>
  <si>
    <t>KKK/2023/165</t>
  </si>
  <si>
    <t xml:space="preserve">NPC = 1, TA = 2, SHK = 2, MRN = 1, HRP = 1, DTPL = 1, SEF = 1, PP = 1                                                                                          </t>
  </si>
  <si>
    <t>KKK/2023/159</t>
  </si>
  <si>
    <t xml:space="preserve">EPS = 6, SIC = 1, JB = 7, PTEL = 1, ARD = 3                           </t>
  </si>
  <si>
    <t>KKK/2023/164</t>
  </si>
  <si>
    <t>25 KVA (BODY &amp; CORE)</t>
  </si>
  <si>
    <t xml:space="preserve">PTEL = 2, TA = 1, NPC = 3, SEF = 2                                              </t>
  </si>
  <si>
    <t>KKK/2023/166</t>
  </si>
  <si>
    <t xml:space="preserve">SIC = 1, ECE = 1, JB = 1                                                                               </t>
  </si>
  <si>
    <t>KKK/2023/167</t>
  </si>
  <si>
    <t xml:space="preserve">SEF = 1, WNP = 1                                                                              </t>
  </si>
  <si>
    <t>KKK/2023/161</t>
  </si>
  <si>
    <t xml:space="preserve">WNP =20.(unstandard tf's)                                                                     </t>
  </si>
  <si>
    <t>KKK/2023/163</t>
  </si>
  <si>
    <t xml:space="preserve">WNP =1.(unstandard tf's)                                                                     </t>
  </si>
  <si>
    <t>KKK/2023/168</t>
  </si>
  <si>
    <t xml:space="preserve">WNP =6.(unstandard tf's)                                                                     </t>
  </si>
  <si>
    <t>KKK/2023/158</t>
  </si>
  <si>
    <t xml:space="preserve">6.3  KVA                  </t>
  </si>
  <si>
    <t xml:space="preserve">WNP =8.(unstandard tf's)                                                                     </t>
  </si>
  <si>
    <t xml:space="preserve">10 KVA             </t>
  </si>
  <si>
    <t>PP -1</t>
  </si>
  <si>
    <t>PP-1, RR-1, SARAF-1, SHIVALIK-2</t>
  </si>
  <si>
    <t xml:space="preserve">WNP =2.(unstandard tf's)                                                                     </t>
  </si>
  <si>
    <t>SICL-3, PTEL-7, BGL-1, JB-2, ECO-1, PVJ-1, NBGL-1, MS-1, PP-1, JINDAL-1,DURA-1</t>
  </si>
  <si>
    <t>dtpl-1,pp-2,kissan-1,saraf-1</t>
  </si>
  <si>
    <t>ptel-1</t>
  </si>
  <si>
    <t>pp-1</t>
  </si>
  <si>
    <t xml:space="preserve">mcpl-1,wnp-1.(unstandard tf's)   </t>
  </si>
  <si>
    <t xml:space="preserve">WNP =5.(unstandard tf's)                                                                     </t>
  </si>
  <si>
    <t>DTPL - 2 , MRN - 1, TA-1</t>
  </si>
  <si>
    <t>NUCON - 1</t>
  </si>
  <si>
    <t>SARAF-1, MRN - 1</t>
  </si>
  <si>
    <t xml:space="preserve">WNP =27.(unstandard tf's)                                                                     </t>
  </si>
  <si>
    <t xml:space="preserve">WNP =3.(unstandard tf's)                                                                     </t>
  </si>
  <si>
    <t>AA - LT ABC Cable scrap without insulation:-</t>
  </si>
  <si>
    <t>Lot No AA-1</t>
  </si>
  <si>
    <t>U/S Tyres</t>
  </si>
  <si>
    <t>U/S Tubes</t>
  </si>
  <si>
    <t>CS SANGRUR (U/S AC WINDOW)</t>
  </si>
  <si>
    <t>CS PATIALA  (U/S AC WINDOW)</t>
  </si>
  <si>
    <t>Quantity ( in No.)</t>
  </si>
  <si>
    <r>
      <rPr>
        <b/>
        <u val="single"/>
        <sz val="14"/>
        <color indexed="8"/>
        <rFont val="Calibri"/>
        <family val="2"/>
      </rPr>
      <t>(I) E-Waste Material lying in Central Store Patiala,Central Store Sangrur as per detail given below :-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>Note:-</t>
    </r>
    <r>
      <rPr>
        <b/>
        <sz val="14"/>
        <color indexed="8"/>
        <rFont val="Calibri"/>
        <family val="2"/>
      </rPr>
      <t xml:space="preserve"> Bidders holding valid authorisation under E-waste (Management) Rules, 2016 as amended in 2018 for dismantling, recycling and refurbishing of E-waste are allowed to participate in E-auction of E-waste. Bid initiated by any other bidder for purchase of E-waste material without holding above mentioned authorisation will not be considered. </t>
    </r>
  </si>
  <si>
    <t>Tubular Poles</t>
  </si>
  <si>
    <t>Lot no. E - 17</t>
  </si>
  <si>
    <t>All Alum scrap</t>
  </si>
  <si>
    <t>Alu scrap of damaged T/F accessories</t>
  </si>
  <si>
    <t>Copper scrap</t>
  </si>
  <si>
    <t>Piller box scrap</t>
  </si>
  <si>
    <t xml:space="preserve">U/S CT </t>
  </si>
  <si>
    <t>Lot no. I-9</t>
  </si>
  <si>
    <t>Iron scrap of Bush fixings</t>
  </si>
  <si>
    <t>CS PATIALA  (U/S STABLIZERS)</t>
  </si>
  <si>
    <t>NUCON 1, JR 2, PP 1, SKSU 1,</t>
  </si>
  <si>
    <t>PP 1, SKSU 1, JR 5, SICL 2, DURABLE 2, SHIVSHKTI 1</t>
  </si>
  <si>
    <t>JB 8, SICL 1, PTEL 1, ARD 1</t>
  </si>
  <si>
    <t>M&amp;M 1, JR 2, NPC 1,</t>
  </si>
  <si>
    <t>SICL 1, JB 1, RTS 1</t>
  </si>
  <si>
    <t>MRN 1,</t>
  </si>
  <si>
    <t>SICL 2, MANU POWER 1</t>
  </si>
  <si>
    <t>SICL 1, HITECH 2, JB 1,</t>
  </si>
  <si>
    <t xml:space="preserve">NPC 1, PP 1(unstandard tf's)      </t>
  </si>
  <si>
    <t xml:space="preserve">JR 1, AGARWAL 1,(unstandard tf's)      </t>
  </si>
  <si>
    <t>195/2023</t>
  </si>
  <si>
    <t>196/2023</t>
  </si>
  <si>
    <t>197/2023</t>
  </si>
  <si>
    <t>198/2023</t>
  </si>
  <si>
    <t>199/2023</t>
  </si>
  <si>
    <t>201/2023</t>
  </si>
  <si>
    <t>202/2023</t>
  </si>
  <si>
    <t>203/2023</t>
  </si>
  <si>
    <t>200/2023</t>
  </si>
  <si>
    <t>204/2023</t>
  </si>
  <si>
    <t>EA-60 /PTA-2023-24</t>
  </si>
  <si>
    <t>27.12.2023</t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</si>
  <si>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</si>
  <si>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</si>
  <si>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</si>
  <si>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</si>
  <si>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</si>
  <si>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</si>
  <si>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</si>
  <si>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r>
      <t xml:space="preserve">Lot No. C 11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</si>
  <si>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12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</si>
  <si>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13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</si>
  <si>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</si>
  <si>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15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TRYMANSA</t>
    </r>
  </si>
  <si>
    <t>SHRI KRISHNA-1,SARAF-1</t>
  </si>
  <si>
    <t>AGGARWAL-7,GTB-1,HR-1,JB-1,JR-2,MS-5,SICL-2,SUSHIL-2, UTTAM-3</t>
  </si>
  <si>
    <t>SICL-1,NUCON-1,JB-1,MUSKAN-1,VKG-1</t>
  </si>
  <si>
    <t>WNP-23 (unstandard tf's)</t>
  </si>
  <si>
    <t>WNP-17 (unstandard tf's)</t>
  </si>
  <si>
    <t>Lot No AA-2</t>
  </si>
  <si>
    <t xml:space="preserve">NOTE : Before lifting of Transformers (From Lot no. C-1 to C-15), HT/LT copper winding coils of transformers shall be mutilated by the purchaser. </t>
  </si>
  <si>
    <t>Lot No. I-16</t>
  </si>
  <si>
    <t>Lot No. I-17</t>
  </si>
  <si>
    <t>Lot No. I-18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</si>
</sst>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  <numFmt numFmtId="191" formatCode="dd/mm/yyyy"/>
  </numFmts>
  <fonts count="9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b/>
      <sz val="11"/>
      <name val="Calibri"/>
      <family val="2"/>
    </font>
    <font>
      <b/>
      <sz val="11"/>
      <color indexed="10"/>
      <name val="Times New Roman"/>
      <family val="1"/>
    </font>
    <font>
      <b/>
      <u val="single"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u val="single"/>
      <sz val="10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  <font>
      <b/>
      <sz val="11"/>
      <color rgb="FFFF0000"/>
      <name val="Times New Roman"/>
      <family val="1"/>
    </font>
    <font>
      <b/>
      <u val="single"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71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center" wrapText="1"/>
    </xf>
    <xf numFmtId="0" fontId="72" fillId="0" borderId="14" xfId="0" applyFont="1" applyFill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vertical="center"/>
    </xf>
    <xf numFmtId="0" fontId="72" fillId="0" borderId="16" xfId="0" applyFont="1" applyFill="1" applyBorder="1" applyAlignment="1">
      <alignment vertical="center"/>
    </xf>
    <xf numFmtId="0" fontId="73" fillId="0" borderId="13" xfId="0" applyFont="1" applyFill="1" applyBorder="1" applyAlignment="1">
      <alignment horizontal="center" vertical="center" wrapText="1"/>
    </xf>
    <xf numFmtId="184" fontId="74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left" vertical="center" wrapText="1"/>
    </xf>
    <xf numFmtId="0" fontId="75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7" fillId="0" borderId="21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vertical="top"/>
    </xf>
    <xf numFmtId="0" fontId="74" fillId="0" borderId="0" xfId="0" applyFont="1" applyAlignment="1">
      <alignment horizontal="center" vertical="top"/>
    </xf>
    <xf numFmtId="0" fontId="74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 vertical="top"/>
    </xf>
    <xf numFmtId="1" fontId="79" fillId="0" borderId="0" xfId="0" applyNumberFormat="1" applyFont="1" applyBorder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184" fontId="76" fillId="0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184" fontId="76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4" fontId="76" fillId="0" borderId="1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84" fontId="76" fillId="0" borderId="2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84" fontId="80" fillId="0" borderId="14" xfId="0" applyNumberFormat="1" applyFont="1" applyFill="1" applyBorder="1" applyAlignment="1">
      <alignment horizontal="center" vertical="center" wrapText="1"/>
    </xf>
    <xf numFmtId="1" fontId="76" fillId="0" borderId="21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 wrapText="1"/>
    </xf>
    <xf numFmtId="184" fontId="76" fillId="0" borderId="15" xfId="0" applyNumberFormat="1" applyFont="1" applyFill="1" applyBorder="1" applyAlignment="1">
      <alignment horizontal="center" vertical="center" wrapText="1"/>
    </xf>
    <xf numFmtId="184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84" fontId="80" fillId="0" borderId="1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" fontId="80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84" fontId="76" fillId="0" borderId="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76" fillId="0" borderId="13" xfId="0" applyFont="1" applyFill="1" applyBorder="1" applyAlignment="1">
      <alignment horizontal="center" vertical="top" wrapText="1"/>
    </xf>
    <xf numFmtId="184" fontId="10" fillId="0" borderId="22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184" fontId="76" fillId="0" borderId="13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top" wrapText="1"/>
    </xf>
    <xf numFmtId="184" fontId="10" fillId="0" borderId="15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184" fontId="10" fillId="0" borderId="22" xfId="0" applyNumberFormat="1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 vertical="center" wrapText="1"/>
    </xf>
    <xf numFmtId="184" fontId="10" fillId="0" borderId="17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wrapText="1"/>
    </xf>
    <xf numFmtId="184" fontId="10" fillId="0" borderId="22" xfId="0" applyNumberFormat="1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/>
    </xf>
    <xf numFmtId="184" fontId="80" fillId="0" borderId="22" xfId="0" applyNumberFormat="1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184" fontId="76" fillId="0" borderId="13" xfId="0" applyNumberFormat="1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vertical="top" wrapText="1"/>
    </xf>
    <xf numFmtId="0" fontId="82" fillId="0" borderId="13" xfId="0" applyFont="1" applyFill="1" applyBorder="1" applyAlignment="1">
      <alignment horizontal="center" vertical="center" wrapText="1"/>
    </xf>
    <xf numFmtId="184" fontId="10" fillId="0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85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77" fillId="0" borderId="16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Fill="1" applyBorder="1" applyAlignment="1">
      <alignment vertical="top"/>
    </xf>
    <xf numFmtId="0" fontId="85" fillId="0" borderId="13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/>
    </xf>
    <xf numFmtId="17" fontId="10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85" fillId="0" borderId="13" xfId="0" applyFont="1" applyFill="1" applyBorder="1" applyAlignment="1">
      <alignment horizontal="center" vertical="center" wrapText="1"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0" fillId="32" borderId="13" xfId="57" applyFont="1" applyFill="1" applyBorder="1" applyAlignment="1">
      <alignment horizontal="center" vertical="center"/>
      <protection/>
    </xf>
    <xf numFmtId="0" fontId="80" fillId="0" borderId="13" xfId="0" applyFont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/>
    </xf>
    <xf numFmtId="184" fontId="80" fillId="0" borderId="14" xfId="0" applyNumberFormat="1" applyFont="1" applyFill="1" applyBorder="1" applyAlignment="1">
      <alignment horizontal="center"/>
    </xf>
    <xf numFmtId="0" fontId="10" fillId="0" borderId="13" xfId="57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 wrapText="1"/>
      <protection/>
    </xf>
    <xf numFmtId="184" fontId="2" fillId="0" borderId="13" xfId="0" applyNumberFormat="1" applyFont="1" applyFill="1" applyBorder="1" applyAlignment="1">
      <alignment horizontal="center" vertical="top" wrapText="1"/>
    </xf>
    <xf numFmtId="184" fontId="76" fillId="0" borderId="15" xfId="0" applyNumberFormat="1" applyFont="1" applyFill="1" applyBorder="1" applyAlignment="1">
      <alignment horizontal="right" vertical="center" wrapText="1"/>
    </xf>
    <xf numFmtId="184" fontId="10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vertical="top" wrapText="1"/>
    </xf>
    <xf numFmtId="0" fontId="0" fillId="0" borderId="0" xfId="0" applyAlignment="1">
      <alignment horizontal="left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left" vertical="top" wrapText="1"/>
    </xf>
    <xf numFmtId="184" fontId="10" fillId="0" borderId="23" xfId="0" applyNumberFormat="1" applyFont="1" applyFill="1" applyBorder="1" applyAlignment="1">
      <alignment horizontal="center" vertical="center" wrapText="1"/>
    </xf>
    <xf numFmtId="184" fontId="76" fillId="0" borderId="24" xfId="0" applyNumberFormat="1" applyFont="1" applyFill="1" applyBorder="1" applyAlignment="1">
      <alignment horizontal="center" vertical="top" wrapText="1"/>
    </xf>
    <xf numFmtId="0" fontId="7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10" fillId="33" borderId="13" xfId="57" applyFont="1" applyFill="1" applyBorder="1" applyAlignment="1">
      <alignment horizontal="center" vertical="center"/>
      <protection/>
    </xf>
    <xf numFmtId="0" fontId="76" fillId="0" borderId="13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78" fillId="0" borderId="13" xfId="0" applyFont="1" applyBorder="1" applyAlignment="1">
      <alignment/>
    </xf>
    <xf numFmtId="184" fontId="71" fillId="0" borderId="0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Fill="1" applyAlignment="1">
      <alignment vertical="top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left" vertical="top" wrapText="1"/>
    </xf>
    <xf numFmtId="0" fontId="77" fillId="0" borderId="16" xfId="0" applyFont="1" applyFill="1" applyBorder="1" applyAlignment="1">
      <alignment horizontal="left" vertical="top" wrapText="1"/>
    </xf>
    <xf numFmtId="0" fontId="77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top" wrapText="1"/>
    </xf>
    <xf numFmtId="0" fontId="76" fillId="0" borderId="15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top" wrapText="1"/>
    </xf>
    <xf numFmtId="184" fontId="76" fillId="0" borderId="0" xfId="0" applyNumberFormat="1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 horizontal="center" vertical="center" wrapText="1"/>
    </xf>
    <xf numFmtId="184" fontId="10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top" wrapText="1"/>
    </xf>
    <xf numFmtId="184" fontId="80" fillId="0" borderId="23" xfId="0" applyNumberFormat="1" applyFont="1" applyFill="1" applyBorder="1" applyAlignment="1">
      <alignment horizontal="center" vertical="top" wrapText="1"/>
    </xf>
    <xf numFmtId="184" fontId="76" fillId="0" borderId="26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left" vertical="top" wrapText="1"/>
    </xf>
    <xf numFmtId="0" fontId="71" fillId="0" borderId="15" xfId="0" applyFont="1" applyFill="1" applyBorder="1" applyAlignment="1">
      <alignment horizontal="center" vertical="top" wrapText="1"/>
    </xf>
    <xf numFmtId="0" fontId="88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top" wrapText="1"/>
    </xf>
    <xf numFmtId="184" fontId="76" fillId="0" borderId="26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/>
    </xf>
    <xf numFmtId="0" fontId="76" fillId="0" borderId="1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2" fontId="80" fillId="0" borderId="0" xfId="0" applyNumberFormat="1" applyFont="1" applyFill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horizontal="center" vertical="top" wrapText="1"/>
    </xf>
    <xf numFmtId="0" fontId="76" fillId="0" borderId="28" xfId="0" applyFont="1" applyFill="1" applyBorder="1" applyAlignment="1">
      <alignment horizontal="center" vertical="top" wrapText="1"/>
    </xf>
    <xf numFmtId="0" fontId="75" fillId="0" borderId="1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75" fillId="0" borderId="18" xfId="0" applyFont="1" applyFill="1" applyBorder="1" applyAlignment="1">
      <alignment horizontal="left" vertical="top" wrapText="1"/>
    </xf>
    <xf numFmtId="0" fontId="75" fillId="0" borderId="19" xfId="0" applyFont="1" applyFill="1" applyBorder="1" applyAlignment="1">
      <alignment horizontal="left" vertical="top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5" fillId="0" borderId="15" xfId="0" applyFont="1" applyFill="1" applyBorder="1" applyAlignment="1">
      <alignment vertical="center" wrapText="1"/>
    </xf>
    <xf numFmtId="0" fontId="75" fillId="0" borderId="16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6" fillId="0" borderId="27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14" xfId="0" applyFont="1" applyFill="1" applyBorder="1" applyAlignment="1">
      <alignment horizontal="left" vertical="center" wrapText="1"/>
    </xf>
    <xf numFmtId="0" fontId="77" fillId="0" borderId="15" xfId="0" applyFont="1" applyFill="1" applyBorder="1" applyAlignment="1">
      <alignment horizontal="left" vertical="center"/>
    </xf>
    <xf numFmtId="0" fontId="77" fillId="0" borderId="16" xfId="0" applyFont="1" applyFill="1" applyBorder="1" applyAlignment="1">
      <alignment horizontal="left" vertical="center"/>
    </xf>
    <xf numFmtId="0" fontId="77" fillId="0" borderId="14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 horizontal="left" wrapText="1"/>
    </xf>
    <xf numFmtId="0" fontId="75" fillId="0" borderId="16" xfId="0" applyFont="1" applyFill="1" applyBorder="1" applyAlignment="1">
      <alignment horizontal="left" wrapText="1"/>
    </xf>
    <xf numFmtId="0" fontId="75" fillId="0" borderId="14" xfId="0" applyFont="1" applyFill="1" applyBorder="1" applyAlignment="1">
      <alignment horizontal="left" wrapText="1"/>
    </xf>
    <xf numFmtId="0" fontId="77" fillId="0" borderId="15" xfId="0" applyFont="1" applyFill="1" applyBorder="1" applyAlignment="1">
      <alignment horizontal="left" vertical="top" wrapText="1"/>
    </xf>
    <xf numFmtId="0" fontId="77" fillId="0" borderId="16" xfId="0" applyFont="1" applyFill="1" applyBorder="1" applyAlignment="1">
      <alignment horizontal="left" vertical="top" wrapText="1"/>
    </xf>
    <xf numFmtId="0" fontId="77" fillId="0" borderId="1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justify" vertical="top" wrapText="1"/>
    </xf>
    <xf numFmtId="0" fontId="77" fillId="0" borderId="16" xfId="0" applyFont="1" applyFill="1" applyBorder="1" applyAlignment="1">
      <alignment horizontal="justify" vertical="top" wrapText="1"/>
    </xf>
    <xf numFmtId="0" fontId="77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84" fontId="10" fillId="0" borderId="13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75" fillId="0" borderId="15" xfId="0" applyFont="1" applyFill="1" applyBorder="1" applyAlignment="1">
      <alignment horizontal="left" vertical="top" wrapText="1"/>
    </xf>
    <xf numFmtId="0" fontId="75" fillId="0" borderId="16" xfId="0" applyFont="1" applyFill="1" applyBorder="1" applyAlignment="1">
      <alignment horizontal="left" vertical="top" wrapText="1"/>
    </xf>
    <xf numFmtId="0" fontId="75" fillId="0" borderId="15" xfId="0" applyFont="1" applyFill="1" applyBorder="1" applyAlignment="1">
      <alignment horizontal="left" vertical="center" wrapText="1"/>
    </xf>
    <xf numFmtId="0" fontId="75" fillId="0" borderId="16" xfId="0" applyFont="1" applyFill="1" applyBorder="1" applyAlignment="1">
      <alignment horizontal="left" vertical="center" wrapText="1"/>
    </xf>
    <xf numFmtId="0" fontId="75" fillId="0" borderId="14" xfId="0" applyFont="1" applyFill="1" applyBorder="1" applyAlignment="1">
      <alignment horizontal="left" vertical="center" wrapText="1"/>
    </xf>
    <xf numFmtId="0" fontId="76" fillId="0" borderId="29" xfId="0" applyFont="1" applyFill="1" applyBorder="1" applyAlignment="1">
      <alignment horizontal="center" vertical="top" wrapText="1"/>
    </xf>
    <xf numFmtId="0" fontId="76" fillId="0" borderId="30" xfId="0" applyFont="1" applyFill="1" applyBorder="1" applyAlignment="1">
      <alignment horizontal="center" vertical="top" wrapText="1"/>
    </xf>
    <xf numFmtId="0" fontId="87" fillId="0" borderId="12" xfId="0" applyFont="1" applyFill="1" applyBorder="1" applyAlignment="1">
      <alignment horizontal="center" vertical="top" wrapText="1"/>
    </xf>
    <xf numFmtId="0" fontId="87" fillId="0" borderId="17" xfId="0" applyFont="1" applyFill="1" applyBorder="1" applyAlignment="1">
      <alignment horizontal="center" vertical="top" wrapText="1"/>
    </xf>
    <xf numFmtId="0" fontId="75" fillId="0" borderId="12" xfId="0" applyFont="1" applyFill="1" applyBorder="1" applyAlignment="1">
      <alignment horizontal="center" vertical="top" wrapText="1"/>
    </xf>
    <xf numFmtId="0" fontId="75" fillId="0" borderId="17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justify" vertical="top" wrapText="1"/>
    </xf>
    <xf numFmtId="0" fontId="77" fillId="0" borderId="22" xfId="0" applyFont="1" applyFill="1" applyBorder="1" applyAlignment="1">
      <alignment horizontal="justify" vertical="top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84" fontId="10" fillId="0" borderId="1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7"/>
  <sheetViews>
    <sheetView tabSelected="1" view="pageBreakPreview" zoomScale="97" zoomScaleNormal="70" zoomScaleSheetLayoutView="97" zoomScalePageLayoutView="70" workbookViewId="0" topLeftCell="A7">
      <selection activeCell="H3" sqref="H3"/>
    </sheetView>
  </sheetViews>
  <sheetFormatPr defaultColWidth="9.140625" defaultRowHeight="12.75"/>
  <cols>
    <col min="1" max="1" width="16.140625" style="6" customWidth="1"/>
    <col min="2" max="2" width="15.421875" style="3" customWidth="1"/>
    <col min="3" max="3" width="25.8515625" style="4" customWidth="1"/>
    <col min="4" max="4" width="70.421875" style="4" customWidth="1"/>
    <col min="5" max="5" width="29.00390625" style="3" customWidth="1"/>
    <col min="6" max="6" width="9.140625" style="1" hidden="1" customWidth="1"/>
    <col min="7" max="7" width="87.421875" style="1" hidden="1" customWidth="1"/>
    <col min="8" max="8" width="159.57421875" style="129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339" t="s">
        <v>73</v>
      </c>
      <c r="B1" s="340"/>
      <c r="C1" s="340"/>
      <c r="D1" s="340"/>
      <c r="E1" s="340"/>
    </row>
    <row r="2" spans="1:4" ht="19.5" customHeight="1">
      <c r="A2" s="341" t="s">
        <v>9</v>
      </c>
      <c r="B2" s="342"/>
      <c r="C2" s="342"/>
      <c r="D2" s="5" t="s">
        <v>434</v>
      </c>
    </row>
    <row r="3" spans="1:4" ht="16.5" customHeight="1">
      <c r="A3" s="341" t="s">
        <v>10</v>
      </c>
      <c r="B3" s="342"/>
      <c r="C3" s="342"/>
      <c r="D3" s="5" t="s">
        <v>435</v>
      </c>
    </row>
    <row r="4" spans="1:5" ht="31.5" customHeight="1">
      <c r="A4" s="307" t="s">
        <v>237</v>
      </c>
      <c r="B4" s="308"/>
      <c r="C4" s="308"/>
      <c r="D4" s="308"/>
      <c r="E4" s="308"/>
    </row>
    <row r="5" spans="1:6" ht="19.5" customHeight="1">
      <c r="A5" s="343" t="s">
        <v>0</v>
      </c>
      <c r="B5" s="344"/>
      <c r="C5" s="344"/>
      <c r="D5" s="344"/>
      <c r="E5" s="79" t="s">
        <v>7</v>
      </c>
      <c r="F5" s="162"/>
    </row>
    <row r="6" spans="1:8" ht="17.25" customHeight="1">
      <c r="A6" s="283" t="s">
        <v>75</v>
      </c>
      <c r="B6" s="290"/>
      <c r="C6" s="275" t="s">
        <v>147</v>
      </c>
      <c r="D6" s="275"/>
      <c r="E6" s="51">
        <v>3.799</v>
      </c>
      <c r="H6" s="121" t="str">
        <f>CONCATENATE("Aluminium Conductor Steel Reinforced scrap, Lying at ",C6,". Quantity in MT - ",E6,)</f>
        <v>Aluminium Conductor Steel Reinforced scrap, Lying at Outlet store Shri Muktsar sahib. Quantity in MT - 3.799</v>
      </c>
    </row>
    <row r="7" spans="1:8" ht="17.25" customHeight="1">
      <c r="A7" s="283" t="s">
        <v>116</v>
      </c>
      <c r="B7" s="290"/>
      <c r="C7" s="275" t="s">
        <v>203</v>
      </c>
      <c r="D7" s="275"/>
      <c r="E7" s="51">
        <v>9.654</v>
      </c>
      <c r="H7" s="121" t="str">
        <f aca="true" t="shared" si="0" ref="H7:H24">CONCATENATE("Aluminium Conductor Steel Reinforced scrap, Lying at ",C7,". Quantity in MT - ",E7,)</f>
        <v>Aluminium Conductor Steel Reinforced scrap, Lying at CS Kotkapura  (.237 MT Intermingle). Quantity in MT - 9.654</v>
      </c>
    </row>
    <row r="8" spans="1:8" ht="17.25" customHeight="1">
      <c r="A8" s="283" t="s">
        <v>163</v>
      </c>
      <c r="B8" s="290"/>
      <c r="C8" s="275" t="s">
        <v>181</v>
      </c>
      <c r="D8" s="275"/>
      <c r="E8" s="51">
        <v>5.721</v>
      </c>
      <c r="H8" s="121" t="str">
        <f t="shared" si="0"/>
        <v>Aluminium Conductor Steel Reinforced scrap, Lying at Outlet store Malerkotla. Quantity in MT - 5.721</v>
      </c>
    </row>
    <row r="9" spans="1:8" ht="17.25" customHeight="1">
      <c r="A9" s="283" t="s">
        <v>180</v>
      </c>
      <c r="B9" s="290"/>
      <c r="C9" s="275" t="s">
        <v>234</v>
      </c>
      <c r="D9" s="275"/>
      <c r="E9" s="51">
        <v>3.911</v>
      </c>
      <c r="G9" s="129"/>
      <c r="H9" s="121" t="str">
        <f t="shared" si="0"/>
        <v>Aluminium Conductor Steel Reinforced scrap, Lying at Outlet store Nabha. Quantity in MT - 3.911</v>
      </c>
    </row>
    <row r="10" spans="1:8" ht="17.25" customHeight="1">
      <c r="A10" s="283" t="s">
        <v>164</v>
      </c>
      <c r="B10" s="290"/>
      <c r="C10" s="275" t="s">
        <v>235</v>
      </c>
      <c r="D10" s="275"/>
      <c r="E10" s="166">
        <v>2.4</v>
      </c>
      <c r="H10" s="121" t="str">
        <f t="shared" si="0"/>
        <v>Aluminium Conductor Steel Reinforced scrap, Lying at Outlet store Rajpura. Quantity in MT - 2.4</v>
      </c>
    </row>
    <row r="11" spans="1:8" ht="17.25" customHeight="1">
      <c r="A11" s="283" t="s">
        <v>182</v>
      </c>
      <c r="B11" s="290"/>
      <c r="C11" s="275" t="s">
        <v>188</v>
      </c>
      <c r="D11" s="275"/>
      <c r="E11" s="51">
        <v>7.78</v>
      </c>
      <c r="H11" s="121" t="str">
        <f t="shared" si="0"/>
        <v>Aluminium Conductor Steel Reinforced scrap, Lying at Outlet store Mansa. Quantity in MT - 7.78</v>
      </c>
    </row>
    <row r="12" spans="1:8" ht="17.25" customHeight="1">
      <c r="A12" s="283" t="s">
        <v>165</v>
      </c>
      <c r="B12" s="290"/>
      <c r="C12" s="275" t="s">
        <v>294</v>
      </c>
      <c r="D12" s="275"/>
      <c r="E12" s="51">
        <v>4.958</v>
      </c>
      <c r="H12" s="121" t="str">
        <f t="shared" si="0"/>
        <v>Aluminium Conductor Steel Reinforced scrap, Lying at CS Mohali (.314 MT intermingle). Quantity in MT - 4.958</v>
      </c>
    </row>
    <row r="13" spans="1:8" ht="17.25" customHeight="1">
      <c r="A13" s="283" t="s">
        <v>204</v>
      </c>
      <c r="B13" s="290"/>
      <c r="C13" s="275" t="s">
        <v>187</v>
      </c>
      <c r="D13" s="275"/>
      <c r="E13" s="51">
        <v>4.567</v>
      </c>
      <c r="H13" s="121" t="str">
        <f t="shared" si="0"/>
        <v>Aluminium Conductor Steel Reinforced scrap, Lying at Outlet store Ropar. Quantity in MT - 4.567</v>
      </c>
    </row>
    <row r="14" spans="1:8" ht="17.25" customHeight="1">
      <c r="A14" s="283" t="s">
        <v>185</v>
      </c>
      <c r="B14" s="290"/>
      <c r="C14" s="275" t="s">
        <v>267</v>
      </c>
      <c r="D14" s="275"/>
      <c r="E14" s="51">
        <v>0.857</v>
      </c>
      <c r="H14" s="121" t="str">
        <f t="shared" si="0"/>
        <v>Aluminium Conductor Steel Reinforced scrap, Lying at Outlet store Fazilka. Quantity in MT - 0.857</v>
      </c>
    </row>
    <row r="15" spans="1:8" ht="17.25" customHeight="1">
      <c r="A15" s="283" t="s">
        <v>186</v>
      </c>
      <c r="B15" s="290"/>
      <c r="C15" s="275" t="s">
        <v>336</v>
      </c>
      <c r="D15" s="275"/>
      <c r="E15" s="51">
        <v>3.765</v>
      </c>
      <c r="G15" s="162"/>
      <c r="H15" s="121" t="str">
        <f t="shared" si="0"/>
        <v>Aluminium Conductor Steel Reinforced scrap, Lying at CS Bathinda (.095 MT intermingle). Quantity in MT - 3.765</v>
      </c>
    </row>
    <row r="16" spans="1:8" ht="17.25" customHeight="1">
      <c r="A16" s="283" t="s">
        <v>206</v>
      </c>
      <c r="B16" s="290"/>
      <c r="C16" s="276" t="s">
        <v>298</v>
      </c>
      <c r="D16" s="276"/>
      <c r="E16" s="166">
        <v>1.814</v>
      </c>
      <c r="H16" s="121" t="str">
        <f t="shared" si="0"/>
        <v>Aluminium Conductor Steel Reinforced scrap, Lying at Outlet store Bhagta Bhai Ka. Quantity in MT - 1.814</v>
      </c>
    </row>
    <row r="17" spans="1:8" ht="17.25" customHeight="1">
      <c r="A17" s="283" t="s">
        <v>273</v>
      </c>
      <c r="B17" s="290"/>
      <c r="C17" s="275" t="s">
        <v>80</v>
      </c>
      <c r="D17" s="275"/>
      <c r="E17" s="51">
        <v>4.074</v>
      </c>
      <c r="H17" s="121" t="str">
        <f t="shared" si="0"/>
        <v>Aluminium Conductor Steel Reinforced scrap, Lying at CS Sangrur. Quantity in MT - 4.074</v>
      </c>
    </row>
    <row r="18" spans="1:8" ht="17.25" customHeight="1">
      <c r="A18" s="283" t="s">
        <v>325</v>
      </c>
      <c r="B18" s="290"/>
      <c r="C18" s="275" t="s">
        <v>183</v>
      </c>
      <c r="D18" s="275"/>
      <c r="E18" s="51">
        <v>1.593</v>
      </c>
      <c r="H18" s="121" t="str">
        <f t="shared" si="0"/>
        <v>Aluminium Conductor Steel Reinforced scrap, Lying at Outlet store Patran. Quantity in MT - 1.593</v>
      </c>
    </row>
    <row r="19" spans="1:8" ht="17.25" customHeight="1">
      <c r="A19" s="283" t="s">
        <v>326</v>
      </c>
      <c r="B19" s="290"/>
      <c r="C19" s="275" t="s">
        <v>184</v>
      </c>
      <c r="D19" s="275"/>
      <c r="E19" s="51">
        <v>1.55</v>
      </c>
      <c r="H19" s="121" t="str">
        <f t="shared" si="0"/>
        <v>Aluminium Conductor Steel Reinforced scrap, Lying at Outlet store Barnala. Quantity in MT - 1.55</v>
      </c>
    </row>
    <row r="20" spans="1:8" ht="17.25" customHeight="1">
      <c r="A20" s="283" t="s">
        <v>331</v>
      </c>
      <c r="B20" s="290"/>
      <c r="C20" s="283" t="s">
        <v>329</v>
      </c>
      <c r="D20" s="284"/>
      <c r="E20" s="51">
        <v>27.403</v>
      </c>
      <c r="H20" s="121" t="str">
        <f t="shared" si="0"/>
        <v>Aluminium Conductor Steel Reinforced scrap, Lying at S &amp; T Store Bathinda ( .465 MT intermingle ). Quantity in MT - 27.403</v>
      </c>
    </row>
    <row r="21" spans="1:8" ht="17.25" customHeight="1">
      <c r="A21" s="283" t="s">
        <v>332</v>
      </c>
      <c r="B21" s="290"/>
      <c r="C21" s="275" t="s">
        <v>96</v>
      </c>
      <c r="D21" s="283"/>
      <c r="E21" s="51">
        <v>1.875</v>
      </c>
      <c r="H21" s="121" t="str">
        <f t="shared" si="0"/>
        <v>Aluminium Conductor Steel Reinforced scrap, Lying at CS Malout. Quantity in MT - 1.875</v>
      </c>
    </row>
    <row r="22" spans="1:8" ht="17.25" customHeight="1">
      <c r="A22" s="283" t="s">
        <v>333</v>
      </c>
      <c r="B22" s="290"/>
      <c r="C22" s="275" t="s">
        <v>339</v>
      </c>
      <c r="D22" s="283"/>
      <c r="E22" s="51">
        <v>10.615</v>
      </c>
      <c r="F22" s="162"/>
      <c r="G22" s="1">
        <v>10.611</v>
      </c>
      <c r="H22" s="121" t="str">
        <f t="shared" si="0"/>
        <v>Aluminium Conductor Steel Reinforced scrap, Lying at CS Ferozepur( .004 MT intermingle ). Quantity in MT - 10.615</v>
      </c>
    </row>
    <row r="23" spans="1:8" ht="17.25" customHeight="1">
      <c r="A23" s="283" t="s">
        <v>345</v>
      </c>
      <c r="B23" s="290"/>
      <c r="C23" s="275" t="s">
        <v>346</v>
      </c>
      <c r="D23" s="283"/>
      <c r="E23" s="51">
        <v>4.645</v>
      </c>
      <c r="F23" s="162"/>
      <c r="H23" s="121" t="str">
        <f t="shared" si="0"/>
        <v>Aluminium Conductor Steel Reinforced scrap, Lying at CS Patiala (.025 MT intermingle ). Quantity in MT - 4.645</v>
      </c>
    </row>
    <row r="24" spans="1:8" ht="17.25" customHeight="1" thickBot="1">
      <c r="A24" s="283" t="s">
        <v>354</v>
      </c>
      <c r="B24" s="290"/>
      <c r="C24" s="275" t="s">
        <v>272</v>
      </c>
      <c r="D24" s="275"/>
      <c r="E24" s="166">
        <v>2.037</v>
      </c>
      <c r="F24" s="162"/>
      <c r="H24" s="121" t="str">
        <f t="shared" si="0"/>
        <v>Aluminium Conductor Steel Reinforced scrap, Lying at Outlet store Moga. Quantity in MT - 2.037</v>
      </c>
    </row>
    <row r="25" spans="1:5" ht="17.25" customHeight="1" thickBot="1">
      <c r="A25" s="348" t="s">
        <v>115</v>
      </c>
      <c r="B25" s="349"/>
      <c r="C25" s="352"/>
      <c r="D25" s="352"/>
      <c r="E25" s="254">
        <f>SUM(E6:E24)</f>
        <v>103.018</v>
      </c>
    </row>
    <row r="26" spans="1:5" ht="17.25" customHeight="1">
      <c r="A26" s="232"/>
      <c r="B26" s="232"/>
      <c r="C26" s="227"/>
      <c r="D26" s="227"/>
      <c r="E26" s="233"/>
    </row>
    <row r="27" spans="1:5" ht="17.25" customHeight="1">
      <c r="A27" s="294" t="s">
        <v>396</v>
      </c>
      <c r="B27" s="295"/>
      <c r="C27" s="295"/>
      <c r="D27" s="295"/>
      <c r="E27" s="79" t="s">
        <v>7</v>
      </c>
    </row>
    <row r="28" spans="1:8" ht="17.25" customHeight="1">
      <c r="A28" s="275" t="s">
        <v>397</v>
      </c>
      <c r="B28" s="275"/>
      <c r="C28" s="279" t="s">
        <v>272</v>
      </c>
      <c r="D28" s="279"/>
      <c r="E28" s="153">
        <v>0.431</v>
      </c>
      <c r="F28" s="1">
        <v>0.271</v>
      </c>
      <c r="H28" s="121" t="str">
        <f>CONCATENATE("LT ABC Cable scrap without insulation, Lying at ",C28,". Quantity in MT - ",E28,)</f>
        <v>LT ABC Cable scrap without insulation, Lying at Outlet store Moga. Quantity in MT - 0.431</v>
      </c>
    </row>
    <row r="29" spans="1:8" ht="17.25" customHeight="1" thickBot="1">
      <c r="A29" s="304" t="s">
        <v>453</v>
      </c>
      <c r="B29" s="305"/>
      <c r="C29" s="368" t="s">
        <v>235</v>
      </c>
      <c r="D29" s="369"/>
      <c r="E29" s="253">
        <v>1.058</v>
      </c>
      <c r="F29" s="1" t="s">
        <v>327</v>
      </c>
      <c r="H29" s="121" t="str">
        <f>CONCATENATE("LT ABC Cable scrap without insulation, Lying at ",C29,". Quantity in MT - ",E29,)</f>
        <v>LT ABC Cable scrap without insulation, Lying at Outlet store Rajpura. Quantity in MT - 1.058</v>
      </c>
    </row>
    <row r="30" spans="1:5" ht="17.25" customHeight="1" thickBot="1">
      <c r="A30" s="280" t="s">
        <v>115</v>
      </c>
      <c r="B30" s="281"/>
      <c r="C30" s="282"/>
      <c r="D30" s="282"/>
      <c r="E30" s="254">
        <f>E28+E29</f>
        <v>1.489</v>
      </c>
    </row>
    <row r="31" spans="1:5" ht="17.25" customHeight="1">
      <c r="A31" s="164"/>
      <c r="B31" s="164"/>
      <c r="C31" s="165"/>
      <c r="D31" s="350"/>
      <c r="E31" s="351"/>
    </row>
    <row r="32" spans="1:5" ht="17.25" customHeight="1">
      <c r="A32" s="343" t="s">
        <v>12</v>
      </c>
      <c r="B32" s="344"/>
      <c r="C32" s="344"/>
      <c r="D32" s="344"/>
      <c r="E32" s="79" t="s">
        <v>7</v>
      </c>
    </row>
    <row r="33" spans="1:8" ht="17.25" customHeight="1">
      <c r="A33" s="283" t="s">
        <v>74</v>
      </c>
      <c r="B33" s="290"/>
      <c r="C33" s="275" t="s">
        <v>134</v>
      </c>
      <c r="D33" s="275"/>
      <c r="E33" s="90">
        <v>18.907</v>
      </c>
      <c r="H33" s="121" t="str">
        <f>CONCATENATE("Damaged Distribution Transformer's HT/LT Aluminium coils scrap with insulation, Lying at ",C33,". Quantity in MT - ",E33,)</f>
        <v>Damaged Distribution Transformer's HT/LT Aluminium coils scrap with insulation, Lying at TRY Bhagta Bhai Ka. Quantity in MT - 18.907</v>
      </c>
    </row>
    <row r="34" spans="1:8" ht="17.25" customHeight="1">
      <c r="A34" s="283" t="s">
        <v>124</v>
      </c>
      <c r="B34" s="290"/>
      <c r="C34" s="275" t="s">
        <v>28</v>
      </c>
      <c r="D34" s="275"/>
      <c r="E34" s="90">
        <v>8.316</v>
      </c>
      <c r="H34" s="121" t="str">
        <f aca="true" t="shared" si="1" ref="H34:H44">CONCATENATE("Damaged Distribution Transformer's HT/LT Aluminium coils scrap with insulation, Lying at ",C34,". Quantity in MT - ",E34,)</f>
        <v>Damaged Distribution Transformer's HT/LT Aluminium coils scrap with insulation, Lying at TRY Malerkotla. Quantity in MT - 8.316</v>
      </c>
    </row>
    <row r="35" spans="1:8" ht="17.25" customHeight="1">
      <c r="A35" s="283" t="s">
        <v>125</v>
      </c>
      <c r="B35" s="290"/>
      <c r="C35" s="275" t="s">
        <v>138</v>
      </c>
      <c r="D35" s="275"/>
      <c r="E35" s="90">
        <v>14.066</v>
      </c>
      <c r="H35" s="121" t="str">
        <f t="shared" si="1"/>
        <v>Damaged Distribution Transformer's HT/LT Aluminium coils scrap with insulation, Lying at TRY Patran. Quantity in MT - 14.066</v>
      </c>
    </row>
    <row r="36" spans="1:8" ht="17.25" customHeight="1">
      <c r="A36" s="283" t="s">
        <v>207</v>
      </c>
      <c r="B36" s="290"/>
      <c r="C36" s="275" t="s">
        <v>252</v>
      </c>
      <c r="D36" s="275"/>
      <c r="E36" s="90">
        <v>10.362</v>
      </c>
      <c r="H36" s="121" t="str">
        <f t="shared" si="1"/>
        <v>Damaged Distribution Transformer's HT/LT Aluminium coils scrap with insulation, Lying at TRY Kotkapura. Quantity in MT - 10.362</v>
      </c>
    </row>
    <row r="37" spans="1:8" ht="17.25" customHeight="1">
      <c r="A37" s="283" t="s">
        <v>160</v>
      </c>
      <c r="B37" s="290"/>
      <c r="C37" s="275" t="s">
        <v>252</v>
      </c>
      <c r="D37" s="275"/>
      <c r="E37" s="90">
        <v>10</v>
      </c>
      <c r="H37" s="121" t="str">
        <f t="shared" si="1"/>
        <v>Damaged Distribution Transformer's HT/LT Aluminium coils scrap with insulation, Lying at TRY Kotkapura. Quantity in MT - 10</v>
      </c>
    </row>
    <row r="38" spans="1:8" ht="17.25" customHeight="1">
      <c r="A38" s="283" t="s">
        <v>189</v>
      </c>
      <c r="B38" s="290"/>
      <c r="C38" s="275" t="s">
        <v>252</v>
      </c>
      <c r="D38" s="275"/>
      <c r="E38" s="90">
        <v>10</v>
      </c>
      <c r="H38" s="121" t="str">
        <f t="shared" si="1"/>
        <v>Damaged Distribution Transformer's HT/LT Aluminium coils scrap with insulation, Lying at TRY Kotkapura. Quantity in MT - 10</v>
      </c>
    </row>
    <row r="39" spans="1:8" ht="17.25" customHeight="1">
      <c r="A39" s="283" t="s">
        <v>253</v>
      </c>
      <c r="B39" s="290"/>
      <c r="C39" s="275" t="s">
        <v>166</v>
      </c>
      <c r="D39" s="275"/>
      <c r="E39" s="90">
        <v>14.532</v>
      </c>
      <c r="H39" s="121" t="str">
        <f t="shared" si="1"/>
        <v>Damaged Distribution Transformer's HT/LT Aluminium coils scrap with insulation, Lying at TRY Malout. Quantity in MT - 14.532</v>
      </c>
    </row>
    <row r="40" spans="1:8" ht="17.25" customHeight="1">
      <c r="A40" s="283" t="s">
        <v>167</v>
      </c>
      <c r="B40" s="290"/>
      <c r="C40" s="275" t="s">
        <v>168</v>
      </c>
      <c r="D40" s="275"/>
      <c r="E40" s="90">
        <v>28.947</v>
      </c>
      <c r="H40" s="121" t="str">
        <f t="shared" si="1"/>
        <v>Damaged Distribution Transformer's HT/LT Aluminium coils scrap with insulation, Lying at TRY Mansa. Quantity in MT - 28.947</v>
      </c>
    </row>
    <row r="41" spans="1:8" ht="17.25" customHeight="1">
      <c r="A41" s="283" t="s">
        <v>255</v>
      </c>
      <c r="B41" s="290"/>
      <c r="C41" s="275" t="s">
        <v>225</v>
      </c>
      <c r="D41" s="275"/>
      <c r="E41" s="90">
        <v>4.858</v>
      </c>
      <c r="H41" s="121" t="str">
        <f t="shared" si="1"/>
        <v>Damaged Distribution Transformer's HT/LT Aluminium coils scrap with insulation, Lying at TRY Moga. Quantity in MT - 4.858</v>
      </c>
    </row>
    <row r="42" spans="1:8" ht="17.25" customHeight="1">
      <c r="A42" s="283" t="s">
        <v>268</v>
      </c>
      <c r="B42" s="290"/>
      <c r="C42" s="275" t="s">
        <v>137</v>
      </c>
      <c r="D42" s="275"/>
      <c r="E42" s="90">
        <v>24.387</v>
      </c>
      <c r="H42" s="121" t="str">
        <f t="shared" si="1"/>
        <v>Damaged Distribution Transformer's HT/LT Aluminium coils scrap with insulation, Lying at TRY Sangrur. Quantity in MT - 24.387</v>
      </c>
    </row>
    <row r="43" spans="1:8" ht="17.25" customHeight="1">
      <c r="A43" s="283" t="s">
        <v>269</v>
      </c>
      <c r="B43" s="290"/>
      <c r="C43" s="275" t="s">
        <v>145</v>
      </c>
      <c r="D43" s="275"/>
      <c r="E43" s="90">
        <v>3.352</v>
      </c>
      <c r="H43" s="121" t="str">
        <f t="shared" si="1"/>
        <v>Damaged Distribution Transformer's HT/LT Aluminium coils scrap with insulation, Lying at TRY Ropar. Quantity in MT - 3.352</v>
      </c>
    </row>
    <row r="44" spans="1:8" ht="17.25" customHeight="1" thickBot="1">
      <c r="A44" s="283" t="s">
        <v>317</v>
      </c>
      <c r="B44" s="290"/>
      <c r="C44" s="275" t="s">
        <v>36</v>
      </c>
      <c r="D44" s="275"/>
      <c r="E44" s="90">
        <v>6.977</v>
      </c>
      <c r="H44" s="121" t="str">
        <f t="shared" si="1"/>
        <v>Damaged Distribution Transformer's HT/LT Aluminium coils scrap with insulation, Lying at TRY Bathinda. Quantity in MT - 6.977</v>
      </c>
    </row>
    <row r="45" spans="1:5" ht="17.25" customHeight="1" thickBot="1">
      <c r="A45" s="280" t="s">
        <v>115</v>
      </c>
      <c r="B45" s="281"/>
      <c r="C45" s="353"/>
      <c r="D45" s="354"/>
      <c r="E45" s="167">
        <f>SUM(E33:E44)</f>
        <v>154.704</v>
      </c>
    </row>
    <row r="46" spans="1:8" ht="17.25" customHeight="1">
      <c r="A46" s="357"/>
      <c r="B46" s="357"/>
      <c r="C46" s="357"/>
      <c r="D46" s="357"/>
      <c r="E46" s="358"/>
      <c r="H46" s="147"/>
    </row>
    <row r="47" spans="1:5" ht="17.25" customHeight="1">
      <c r="A47" s="359" t="s">
        <v>109</v>
      </c>
      <c r="B47" s="359"/>
      <c r="C47" s="359"/>
      <c r="D47" s="359"/>
      <c r="E47" s="360"/>
    </row>
    <row r="48" spans="1:5" ht="17.25" customHeight="1">
      <c r="A48" s="355" t="s">
        <v>454</v>
      </c>
      <c r="B48" s="356"/>
      <c r="C48" s="356"/>
      <c r="D48" s="356"/>
      <c r="E48" s="356"/>
    </row>
    <row r="49" spans="1:5" ht="17.25" customHeight="1">
      <c r="A49" s="114"/>
      <c r="B49" s="115"/>
      <c r="C49" s="115"/>
      <c r="D49" s="115"/>
      <c r="E49" s="115"/>
    </row>
    <row r="50" spans="1:6" ht="29.25" customHeight="1">
      <c r="A50" s="283" t="s">
        <v>247</v>
      </c>
      <c r="B50" s="284"/>
      <c r="C50" s="284"/>
      <c r="D50" s="284"/>
      <c r="E50" s="290"/>
      <c r="F50" s="1">
        <f>B65+B79+B91+B105+B120+B133+B141+B155+B168+B188+B201+B215+B235+B257+B270</f>
        <v>892</v>
      </c>
    </row>
    <row r="51" spans="1:5" ht="24.75" customHeight="1">
      <c r="A51" s="27" t="s">
        <v>215</v>
      </c>
      <c r="B51" s="27" t="s">
        <v>216</v>
      </c>
      <c r="C51" s="27" t="s">
        <v>217</v>
      </c>
      <c r="D51" s="27" t="s">
        <v>218</v>
      </c>
      <c r="E51" s="109" t="s">
        <v>219</v>
      </c>
    </row>
    <row r="52" spans="1:6" ht="17.25" customHeight="1">
      <c r="A52" s="291" t="s">
        <v>220</v>
      </c>
      <c r="B52" s="292"/>
      <c r="C52" s="293"/>
      <c r="D52" s="88"/>
      <c r="E52" s="103"/>
      <c r="F52" s="1">
        <f>B53+B54+B55+B56+B57+B59+B60+B61+B62+B63</f>
        <v>249</v>
      </c>
    </row>
    <row r="53" spans="1:5" ht="17.25" customHeight="1">
      <c r="A53" s="149">
        <v>90</v>
      </c>
      <c r="B53" s="150">
        <v>27</v>
      </c>
      <c r="C53" s="150" t="s">
        <v>221</v>
      </c>
      <c r="D53" s="149" t="s">
        <v>222</v>
      </c>
      <c r="E53" s="150">
        <v>1301</v>
      </c>
    </row>
    <row r="54" spans="1:5" ht="17.25" customHeight="1">
      <c r="A54" s="149">
        <v>91</v>
      </c>
      <c r="B54" s="150">
        <v>25</v>
      </c>
      <c r="C54" s="150" t="s">
        <v>221</v>
      </c>
      <c r="D54" s="149" t="s">
        <v>223</v>
      </c>
      <c r="E54" s="150">
        <v>1214</v>
      </c>
    </row>
    <row r="55" spans="1:5" ht="17.25" customHeight="1">
      <c r="A55" s="149">
        <v>92</v>
      </c>
      <c r="B55" s="150">
        <v>14</v>
      </c>
      <c r="C55" s="150" t="s">
        <v>221</v>
      </c>
      <c r="D55" s="149" t="s">
        <v>224</v>
      </c>
      <c r="E55" s="150">
        <v>678</v>
      </c>
    </row>
    <row r="56" spans="1:5" ht="17.25" customHeight="1">
      <c r="A56" s="149">
        <v>93</v>
      </c>
      <c r="B56" s="150">
        <v>25</v>
      </c>
      <c r="C56" s="150" t="s">
        <v>221</v>
      </c>
      <c r="D56" s="149" t="s">
        <v>229</v>
      </c>
      <c r="E56" s="150">
        <v>1201</v>
      </c>
    </row>
    <row r="57" spans="1:5" ht="17.25" customHeight="1">
      <c r="A57" s="149">
        <v>94</v>
      </c>
      <c r="B57" s="150">
        <v>18</v>
      </c>
      <c r="C57" s="150" t="s">
        <v>221</v>
      </c>
      <c r="D57" s="149" t="s">
        <v>230</v>
      </c>
      <c r="E57" s="150">
        <v>835</v>
      </c>
    </row>
    <row r="58" spans="1:5" ht="75.75" customHeight="1">
      <c r="A58" s="149">
        <v>95</v>
      </c>
      <c r="B58" s="150">
        <v>20</v>
      </c>
      <c r="C58" s="170" t="s">
        <v>245</v>
      </c>
      <c r="D58" s="158" t="s">
        <v>262</v>
      </c>
      <c r="E58" s="157">
        <v>4276</v>
      </c>
    </row>
    <row r="59" spans="1:5" ht="17.25" customHeight="1">
      <c r="A59" s="149">
        <v>96</v>
      </c>
      <c r="B59" s="150">
        <v>27</v>
      </c>
      <c r="C59" s="151" t="s">
        <v>221</v>
      </c>
      <c r="D59" s="149" t="s">
        <v>263</v>
      </c>
      <c r="E59" s="157">
        <v>1303</v>
      </c>
    </row>
    <row r="60" spans="1:5" ht="17.25" customHeight="1">
      <c r="A60" s="149">
        <v>97</v>
      </c>
      <c r="B60" s="150">
        <v>26</v>
      </c>
      <c r="C60" s="151" t="s">
        <v>221</v>
      </c>
      <c r="D60" s="149" t="s">
        <v>264</v>
      </c>
      <c r="E60" s="157">
        <v>1209</v>
      </c>
    </row>
    <row r="61" spans="1:5" ht="17.25" customHeight="1">
      <c r="A61" s="149">
        <v>98</v>
      </c>
      <c r="B61" s="150">
        <v>27</v>
      </c>
      <c r="C61" s="151" t="s">
        <v>228</v>
      </c>
      <c r="D61" s="158" t="s">
        <v>263</v>
      </c>
      <c r="E61" s="150">
        <v>1286</v>
      </c>
    </row>
    <row r="62" spans="1:5" ht="17.25" customHeight="1">
      <c r="A62" s="149">
        <v>99</v>
      </c>
      <c r="B62" s="150">
        <v>30</v>
      </c>
      <c r="C62" s="151" t="s">
        <v>228</v>
      </c>
      <c r="D62" s="158" t="s">
        <v>265</v>
      </c>
      <c r="E62" s="150">
        <v>1365</v>
      </c>
    </row>
    <row r="63" spans="1:5" ht="17.25" customHeight="1">
      <c r="A63" s="149">
        <v>100</v>
      </c>
      <c r="B63" s="150">
        <v>30</v>
      </c>
      <c r="C63" s="151" t="s">
        <v>228</v>
      </c>
      <c r="D63" s="158" t="s">
        <v>265</v>
      </c>
      <c r="E63" s="150">
        <v>1374</v>
      </c>
    </row>
    <row r="64" spans="1:5" ht="17.25" customHeight="1">
      <c r="A64" s="110"/>
      <c r="B64" s="111">
        <f>SUM(B53:B63)</f>
        <v>269</v>
      </c>
      <c r="C64" s="111"/>
      <c r="D64" s="111"/>
      <c r="E64" s="111">
        <f>SUM(E53:E63)</f>
        <v>16042</v>
      </c>
    </row>
    <row r="65" spans="1:5" ht="17.25" customHeight="1">
      <c r="A65" s="88" t="s">
        <v>14</v>
      </c>
      <c r="B65" s="111">
        <f>B64</f>
        <v>269</v>
      </c>
      <c r="C65" s="111"/>
      <c r="D65" s="111"/>
      <c r="E65" s="111">
        <f>E64</f>
        <v>16042</v>
      </c>
    </row>
    <row r="66" spans="1:5" ht="17.25" customHeight="1">
      <c r="A66" s="103"/>
      <c r="B66" s="112"/>
      <c r="C66" s="112"/>
      <c r="D66" s="112"/>
      <c r="E66" s="112"/>
    </row>
    <row r="67" spans="1:5" ht="27.75" customHeight="1">
      <c r="A67" s="283" t="s">
        <v>301</v>
      </c>
      <c r="B67" s="284"/>
      <c r="C67" s="284"/>
      <c r="D67" s="284"/>
      <c r="E67" s="284"/>
    </row>
    <row r="68" spans="1:5" ht="24.75" customHeight="1">
      <c r="A68" s="27" t="s">
        <v>215</v>
      </c>
      <c r="B68" s="27" t="s">
        <v>216</v>
      </c>
      <c r="C68" s="27" t="s">
        <v>217</v>
      </c>
      <c r="D68" s="27" t="s">
        <v>218</v>
      </c>
      <c r="E68" s="109" t="s">
        <v>219</v>
      </c>
    </row>
    <row r="69" spans="1:5" ht="17.25" customHeight="1">
      <c r="A69" s="291" t="s">
        <v>226</v>
      </c>
      <c r="B69" s="292"/>
      <c r="C69" s="293"/>
      <c r="D69" s="27"/>
      <c r="E69" s="109"/>
    </row>
    <row r="70" spans="1:5" ht="17.25" customHeight="1">
      <c r="A70" s="146" t="s">
        <v>286</v>
      </c>
      <c r="B70" s="141">
        <v>7</v>
      </c>
      <c r="C70" s="141" t="s">
        <v>231</v>
      </c>
      <c r="D70" s="141" t="s">
        <v>287</v>
      </c>
      <c r="E70" s="141">
        <v>780</v>
      </c>
    </row>
    <row r="71" spans="1:5" ht="17.25" customHeight="1">
      <c r="A71" s="148"/>
      <c r="B71" s="113">
        <f>SUM(B70:B70)</f>
        <v>7</v>
      </c>
      <c r="C71" s="113"/>
      <c r="D71" s="113"/>
      <c r="E71" s="113">
        <f>SUM(E70:E70)</f>
        <v>780</v>
      </c>
    </row>
    <row r="72" spans="1:5" ht="17.25" customHeight="1">
      <c r="A72" s="291" t="s">
        <v>220</v>
      </c>
      <c r="B72" s="292"/>
      <c r="C72" s="293"/>
      <c r="D72" s="38"/>
      <c r="E72" s="38"/>
    </row>
    <row r="73" spans="1:5" ht="17.25" customHeight="1">
      <c r="A73" s="146" t="s">
        <v>288</v>
      </c>
      <c r="B73" s="141">
        <v>4</v>
      </c>
      <c r="C73" s="145" t="s">
        <v>236</v>
      </c>
      <c r="D73" s="141" t="s">
        <v>289</v>
      </c>
      <c r="E73" s="141">
        <v>466</v>
      </c>
    </row>
    <row r="74" spans="1:5" ht="17.25" customHeight="1">
      <c r="A74" s="146" t="s">
        <v>288</v>
      </c>
      <c r="B74" s="141">
        <v>1</v>
      </c>
      <c r="C74" s="145" t="s">
        <v>245</v>
      </c>
      <c r="D74" s="141" t="s">
        <v>266</v>
      </c>
      <c r="E74" s="141">
        <v>220</v>
      </c>
    </row>
    <row r="75" spans="1:5" ht="17.25" customHeight="1">
      <c r="A75" s="146" t="s">
        <v>288</v>
      </c>
      <c r="B75" s="141">
        <v>1</v>
      </c>
      <c r="C75" s="145" t="s">
        <v>249</v>
      </c>
      <c r="D75" s="141" t="s">
        <v>290</v>
      </c>
      <c r="E75" s="141">
        <v>295</v>
      </c>
    </row>
    <row r="76" spans="1:5" ht="17.25" customHeight="1">
      <c r="A76" s="146" t="s">
        <v>291</v>
      </c>
      <c r="B76" s="141">
        <v>1</v>
      </c>
      <c r="C76" s="141" t="s">
        <v>231</v>
      </c>
      <c r="D76" s="45" t="s">
        <v>250</v>
      </c>
      <c r="E76" s="141">
        <v>87</v>
      </c>
    </row>
    <row r="77" spans="1:5" ht="17.25" customHeight="1">
      <c r="A77" s="146" t="s">
        <v>292</v>
      </c>
      <c r="B77" s="141">
        <v>1</v>
      </c>
      <c r="C77" s="145" t="s">
        <v>236</v>
      </c>
      <c r="D77" s="45" t="s">
        <v>250</v>
      </c>
      <c r="E77" s="141">
        <v>115</v>
      </c>
    </row>
    <row r="78" spans="1:5" ht="17.25" customHeight="1">
      <c r="A78" s="27"/>
      <c r="B78" s="88">
        <f>SUM(B73:B77)</f>
        <v>8</v>
      </c>
      <c r="C78" s="88"/>
      <c r="D78" s="88"/>
      <c r="E78" s="88">
        <f>SUM(E73:E77)</f>
        <v>1183</v>
      </c>
    </row>
    <row r="79" spans="1:5" ht="17.25" customHeight="1">
      <c r="A79" s="88" t="s">
        <v>14</v>
      </c>
      <c r="B79" s="111">
        <f>B71+B78</f>
        <v>15</v>
      </c>
      <c r="C79" s="111"/>
      <c r="D79" s="111"/>
      <c r="E79" s="111">
        <f>E71+E78</f>
        <v>1963</v>
      </c>
    </row>
    <row r="80" spans="1:5" ht="17.25" customHeight="1">
      <c r="A80" s="103"/>
      <c r="B80" s="112"/>
      <c r="C80" s="118"/>
      <c r="D80" s="111"/>
      <c r="E80" s="111"/>
    </row>
    <row r="81" spans="1:5" ht="33.75" customHeight="1">
      <c r="A81" s="283" t="s">
        <v>436</v>
      </c>
      <c r="B81" s="284"/>
      <c r="C81" s="284"/>
      <c r="D81" s="284"/>
      <c r="E81" s="284"/>
    </row>
    <row r="82" spans="1:5" ht="23.25" customHeight="1">
      <c r="A82" s="27" t="s">
        <v>215</v>
      </c>
      <c r="B82" s="27" t="s">
        <v>216</v>
      </c>
      <c r="C82" s="27" t="s">
        <v>217</v>
      </c>
      <c r="D82" s="27" t="s">
        <v>218</v>
      </c>
      <c r="E82" s="109" t="s">
        <v>219</v>
      </c>
    </row>
    <row r="83" spans="1:5" ht="17.25" customHeight="1">
      <c r="A83" s="291" t="s">
        <v>226</v>
      </c>
      <c r="B83" s="292"/>
      <c r="C83" s="293"/>
      <c r="D83" s="27"/>
      <c r="E83" s="109"/>
    </row>
    <row r="84" spans="1:5" ht="17.25" customHeight="1">
      <c r="A84" s="50">
        <v>756</v>
      </c>
      <c r="B84" s="50">
        <v>3</v>
      </c>
      <c r="C84" s="50" t="s">
        <v>228</v>
      </c>
      <c r="D84" s="50" t="s">
        <v>295</v>
      </c>
      <c r="E84" s="50">
        <v>226</v>
      </c>
    </row>
    <row r="85" spans="1:5" ht="17.25" customHeight="1">
      <c r="A85" s="50">
        <v>757</v>
      </c>
      <c r="B85" s="50">
        <v>10</v>
      </c>
      <c r="C85" s="50" t="s">
        <v>231</v>
      </c>
      <c r="D85" s="50" t="s">
        <v>296</v>
      </c>
      <c r="E85" s="50">
        <v>1056</v>
      </c>
    </row>
    <row r="86" spans="1:5" ht="17.25" customHeight="1">
      <c r="A86" s="148"/>
      <c r="B86" s="113">
        <f>SUM(B84:B85)</f>
        <v>13</v>
      </c>
      <c r="C86" s="113"/>
      <c r="D86" s="113"/>
      <c r="E86" s="113">
        <f>SUM(E84:E85)</f>
        <v>1282</v>
      </c>
    </row>
    <row r="87" spans="1:5" ht="17.25" customHeight="1">
      <c r="A87" s="291" t="s">
        <v>220</v>
      </c>
      <c r="B87" s="292"/>
      <c r="C87" s="293"/>
      <c r="D87" s="38"/>
      <c r="E87" s="38"/>
    </row>
    <row r="88" spans="1:5" ht="17.25" customHeight="1">
      <c r="A88" s="50">
        <v>758</v>
      </c>
      <c r="B88" s="50">
        <v>8</v>
      </c>
      <c r="C88" s="50" t="s">
        <v>228</v>
      </c>
      <c r="D88" s="50" t="s">
        <v>297</v>
      </c>
      <c r="E88" s="50">
        <v>586</v>
      </c>
    </row>
    <row r="89" spans="1:5" ht="17.25" customHeight="1">
      <c r="A89" s="50">
        <v>759</v>
      </c>
      <c r="B89" s="50">
        <v>1</v>
      </c>
      <c r="C89" s="50" t="s">
        <v>231</v>
      </c>
      <c r="D89" s="50" t="s">
        <v>242</v>
      </c>
      <c r="E89" s="50">
        <v>82</v>
      </c>
    </row>
    <row r="90" spans="1:5" ht="17.25" customHeight="1">
      <c r="A90" s="27"/>
      <c r="B90" s="88">
        <f>SUM(B88:B89)</f>
        <v>9</v>
      </c>
      <c r="C90" s="88"/>
      <c r="D90" s="88"/>
      <c r="E90" s="88">
        <f>SUM(E88:E89)</f>
        <v>668</v>
      </c>
    </row>
    <row r="91" spans="1:5" ht="17.25" customHeight="1">
      <c r="A91" s="88" t="s">
        <v>14</v>
      </c>
      <c r="B91" s="111">
        <f>B86+B90</f>
        <v>22</v>
      </c>
      <c r="C91" s="111"/>
      <c r="D91" s="111"/>
      <c r="E91" s="111">
        <f>E86+E90</f>
        <v>1950</v>
      </c>
    </row>
    <row r="92" spans="1:5" ht="17.25" customHeight="1">
      <c r="A92" s="103"/>
      <c r="B92" s="112"/>
      <c r="C92" s="118"/>
      <c r="D92" s="111"/>
      <c r="E92" s="111"/>
    </row>
    <row r="93" spans="1:5" ht="31.5" customHeight="1">
      <c r="A93" s="283" t="s">
        <v>437</v>
      </c>
      <c r="B93" s="284"/>
      <c r="C93" s="284"/>
      <c r="D93" s="284"/>
      <c r="E93" s="284"/>
    </row>
    <row r="94" spans="1:5" ht="24.75" customHeight="1">
      <c r="A94" s="27" t="s">
        <v>215</v>
      </c>
      <c r="B94" s="27" t="s">
        <v>216</v>
      </c>
      <c r="C94" s="27" t="s">
        <v>217</v>
      </c>
      <c r="D94" s="27" t="s">
        <v>218</v>
      </c>
      <c r="E94" s="109" t="s">
        <v>219</v>
      </c>
    </row>
    <row r="95" spans="1:5" ht="17.25" customHeight="1">
      <c r="A95" s="285" t="s">
        <v>226</v>
      </c>
      <c r="B95" s="286"/>
      <c r="C95" s="287"/>
      <c r="D95" s="45"/>
      <c r="E95" s="44"/>
    </row>
    <row r="96" spans="1:5" ht="17.25" customHeight="1">
      <c r="A96" s="45">
        <v>996</v>
      </c>
      <c r="B96" s="45">
        <v>3</v>
      </c>
      <c r="C96" s="45" t="s">
        <v>221</v>
      </c>
      <c r="D96" s="45" t="s">
        <v>302</v>
      </c>
      <c r="E96" s="142">
        <v>216</v>
      </c>
    </row>
    <row r="97" spans="1:5" ht="17.25" customHeight="1">
      <c r="A97" s="45">
        <v>997</v>
      </c>
      <c r="B97" s="45">
        <v>3</v>
      </c>
      <c r="C97" s="45" t="s">
        <v>241</v>
      </c>
      <c r="D97" s="45" t="s">
        <v>303</v>
      </c>
      <c r="E97" s="142">
        <v>304</v>
      </c>
    </row>
    <row r="98" spans="1:5" ht="17.25" customHeight="1">
      <c r="A98" s="184"/>
      <c r="B98" s="113">
        <f>SUM(B96:B97)</f>
        <v>6</v>
      </c>
      <c r="C98" s="113"/>
      <c r="D98" s="113"/>
      <c r="E98" s="113">
        <f>SUM(E96:E97)</f>
        <v>520</v>
      </c>
    </row>
    <row r="99" spans="1:5" ht="17.25" customHeight="1">
      <c r="A99" s="285" t="s">
        <v>220</v>
      </c>
      <c r="B99" s="286"/>
      <c r="C99" s="287"/>
      <c r="D99" s="38"/>
      <c r="E99" s="38"/>
    </row>
    <row r="100" spans="1:5" ht="17.25" customHeight="1">
      <c r="A100" s="85">
        <v>998</v>
      </c>
      <c r="B100" s="117">
        <v>3</v>
      </c>
      <c r="C100" s="85" t="s">
        <v>240</v>
      </c>
      <c r="D100" s="45" t="s">
        <v>244</v>
      </c>
      <c r="E100" s="143">
        <v>137</v>
      </c>
    </row>
    <row r="101" spans="1:5" ht="17.25" customHeight="1">
      <c r="A101" s="85">
        <v>999</v>
      </c>
      <c r="B101" s="117">
        <v>14</v>
      </c>
      <c r="C101" s="85" t="s">
        <v>221</v>
      </c>
      <c r="D101" s="45" t="s">
        <v>304</v>
      </c>
      <c r="E101" s="143">
        <v>1255</v>
      </c>
    </row>
    <row r="102" spans="1:5" ht="17.25" customHeight="1">
      <c r="A102" s="85">
        <v>1000</v>
      </c>
      <c r="B102" s="117">
        <v>7</v>
      </c>
      <c r="C102" s="85" t="s">
        <v>221</v>
      </c>
      <c r="D102" s="45" t="s">
        <v>305</v>
      </c>
      <c r="E102" s="143">
        <v>613</v>
      </c>
    </row>
    <row r="103" spans="1:5" ht="17.25" customHeight="1">
      <c r="A103" s="85">
        <v>1001</v>
      </c>
      <c r="B103" s="117">
        <v>1</v>
      </c>
      <c r="C103" s="85" t="s">
        <v>241</v>
      </c>
      <c r="D103" s="45" t="s">
        <v>243</v>
      </c>
      <c r="E103" s="143">
        <v>101</v>
      </c>
    </row>
    <row r="104" spans="1:5" ht="17.25" customHeight="1">
      <c r="A104" s="45"/>
      <c r="B104" s="168">
        <f>SUM(B100:B103)</f>
        <v>25</v>
      </c>
      <c r="C104" s="168"/>
      <c r="D104" s="168"/>
      <c r="E104" s="168">
        <f>SUM(E100:E103)</f>
        <v>2106</v>
      </c>
    </row>
    <row r="105" spans="1:5" ht="17.25" customHeight="1">
      <c r="A105" s="168" t="s">
        <v>14</v>
      </c>
      <c r="B105" s="171">
        <f>B98+B104</f>
        <v>31</v>
      </c>
      <c r="C105" s="171"/>
      <c r="D105" s="171"/>
      <c r="E105" s="171">
        <f>E98+E104</f>
        <v>2626</v>
      </c>
    </row>
    <row r="106" spans="1:5" ht="17.25" customHeight="1">
      <c r="A106" s="174"/>
      <c r="B106" s="172"/>
      <c r="C106" s="173"/>
      <c r="D106" s="171"/>
      <c r="E106" s="171"/>
    </row>
    <row r="107" spans="1:7" ht="28.5" customHeight="1">
      <c r="A107" s="283" t="s">
        <v>438</v>
      </c>
      <c r="B107" s="284"/>
      <c r="C107" s="284"/>
      <c r="D107" s="284"/>
      <c r="E107" s="284"/>
      <c r="F107" s="177"/>
      <c r="G107" s="177"/>
    </row>
    <row r="108" spans="1:7" ht="26.25" customHeight="1">
      <c r="A108" s="27" t="s">
        <v>215</v>
      </c>
      <c r="B108" s="27" t="s">
        <v>216</v>
      </c>
      <c r="C108" s="27" t="s">
        <v>217</v>
      </c>
      <c r="D108" s="27" t="s">
        <v>218</v>
      </c>
      <c r="E108" s="109" t="s">
        <v>219</v>
      </c>
      <c r="F108" s="177"/>
      <c r="G108" s="177"/>
    </row>
    <row r="109" spans="1:7" ht="17.25" customHeight="1">
      <c r="A109" s="285" t="s">
        <v>226</v>
      </c>
      <c r="B109" s="286"/>
      <c r="C109" s="287"/>
      <c r="D109" s="45"/>
      <c r="E109" s="44"/>
      <c r="F109" s="177"/>
      <c r="G109" s="177"/>
    </row>
    <row r="110" spans="1:7" ht="17.25" customHeight="1">
      <c r="A110" s="50">
        <v>724</v>
      </c>
      <c r="B110" s="141">
        <v>1</v>
      </c>
      <c r="C110" s="141" t="s">
        <v>227</v>
      </c>
      <c r="D110" s="141" t="s">
        <v>307</v>
      </c>
      <c r="E110" s="141">
        <v>50</v>
      </c>
      <c r="F110" s="177"/>
      <c r="G110" s="177"/>
    </row>
    <row r="111" spans="1:7" ht="17.25" customHeight="1">
      <c r="A111" s="50">
        <v>725</v>
      </c>
      <c r="B111" s="141">
        <v>6</v>
      </c>
      <c r="C111" s="141" t="s">
        <v>228</v>
      </c>
      <c r="D111" s="141" t="s">
        <v>308</v>
      </c>
      <c r="E111" s="141">
        <v>446</v>
      </c>
      <c r="F111" s="177"/>
      <c r="G111" s="177"/>
    </row>
    <row r="112" spans="1:7" ht="17.25" customHeight="1">
      <c r="A112" s="50">
        <v>726</v>
      </c>
      <c r="B112" s="141">
        <v>21</v>
      </c>
      <c r="C112" s="141" t="s">
        <v>231</v>
      </c>
      <c r="D112" s="188" t="s">
        <v>313</v>
      </c>
      <c r="E112" s="141">
        <v>2233</v>
      </c>
      <c r="F112" s="177"/>
      <c r="G112" s="177"/>
    </row>
    <row r="113" spans="1:7" ht="17.25" customHeight="1">
      <c r="A113" s="179"/>
      <c r="B113" s="179">
        <f>SUM(B110:B112)</f>
        <v>28</v>
      </c>
      <c r="C113" s="179"/>
      <c r="D113" s="179"/>
      <c r="E113" s="179">
        <f>SUM(E110:E112)</f>
        <v>2729</v>
      </c>
      <c r="F113" s="177"/>
      <c r="G113" s="177"/>
    </row>
    <row r="114" spans="1:7" ht="17.25" customHeight="1">
      <c r="A114" s="285" t="s">
        <v>220</v>
      </c>
      <c r="B114" s="286"/>
      <c r="C114" s="287"/>
      <c r="D114" s="179"/>
      <c r="E114" s="180"/>
      <c r="F114" s="177"/>
      <c r="G114" s="177"/>
    </row>
    <row r="115" spans="1:7" ht="17.25" customHeight="1">
      <c r="A115" s="50">
        <v>730</v>
      </c>
      <c r="B115" s="141">
        <v>1</v>
      </c>
      <c r="C115" s="145" t="s">
        <v>249</v>
      </c>
      <c r="D115" s="141" t="s">
        <v>309</v>
      </c>
      <c r="E115" s="141">
        <v>265</v>
      </c>
      <c r="F115" s="177"/>
      <c r="G115" s="177"/>
    </row>
    <row r="116" spans="1:7" ht="17.25" customHeight="1">
      <c r="A116" s="50">
        <v>727</v>
      </c>
      <c r="B116" s="141">
        <v>10</v>
      </c>
      <c r="C116" s="141" t="s">
        <v>228</v>
      </c>
      <c r="D116" s="141" t="s">
        <v>310</v>
      </c>
      <c r="E116" s="141">
        <v>750</v>
      </c>
      <c r="F116" s="177"/>
      <c r="G116" s="177"/>
    </row>
    <row r="117" spans="1:7" ht="17.25" customHeight="1">
      <c r="A117" s="50">
        <v>728</v>
      </c>
      <c r="B117" s="141">
        <v>5</v>
      </c>
      <c r="C117" s="141" t="s">
        <v>231</v>
      </c>
      <c r="D117" s="141" t="s">
        <v>311</v>
      </c>
      <c r="E117" s="141">
        <v>403</v>
      </c>
      <c r="F117" s="177"/>
      <c r="G117" s="177"/>
    </row>
    <row r="118" spans="1:7" ht="17.25" customHeight="1">
      <c r="A118" s="50">
        <v>729</v>
      </c>
      <c r="B118" s="141">
        <v>2</v>
      </c>
      <c r="C118" s="145" t="s">
        <v>236</v>
      </c>
      <c r="D118" s="141" t="s">
        <v>312</v>
      </c>
      <c r="E118" s="141">
        <v>207</v>
      </c>
      <c r="F118" s="177"/>
      <c r="G118" s="177"/>
    </row>
    <row r="119" spans="1:7" ht="17.25" customHeight="1">
      <c r="A119" s="45"/>
      <c r="B119" s="179">
        <f>SUM(B115:B118)</f>
        <v>18</v>
      </c>
      <c r="C119" s="179"/>
      <c r="D119" s="179"/>
      <c r="E119" s="179">
        <f>SUM(E115:E118)</f>
        <v>1625</v>
      </c>
      <c r="F119" s="177"/>
      <c r="G119" s="177"/>
    </row>
    <row r="120" spans="1:7" ht="17.25" customHeight="1">
      <c r="A120" s="179" t="s">
        <v>14</v>
      </c>
      <c r="B120" s="171">
        <f>B113+B119</f>
        <v>46</v>
      </c>
      <c r="C120" s="171"/>
      <c r="D120" s="171"/>
      <c r="E120" s="171">
        <f>E113+E119</f>
        <v>4354</v>
      </c>
      <c r="F120" s="177"/>
      <c r="G120" s="177"/>
    </row>
    <row r="121" spans="1:7" ht="17.25" customHeight="1">
      <c r="A121" s="183"/>
      <c r="B121" s="172"/>
      <c r="C121" s="173"/>
      <c r="D121" s="171"/>
      <c r="E121" s="171"/>
      <c r="F121" s="177"/>
      <c r="G121" s="177"/>
    </row>
    <row r="122" spans="1:7" ht="27.75" customHeight="1">
      <c r="A122" s="283" t="s">
        <v>439</v>
      </c>
      <c r="B122" s="284"/>
      <c r="C122" s="284"/>
      <c r="D122" s="284"/>
      <c r="E122" s="284"/>
      <c r="F122" s="177"/>
      <c r="G122" s="177"/>
    </row>
    <row r="123" spans="1:7" ht="21.75" customHeight="1">
      <c r="A123" s="27" t="s">
        <v>215</v>
      </c>
      <c r="B123" s="27" t="s">
        <v>216</v>
      </c>
      <c r="C123" s="27" t="s">
        <v>217</v>
      </c>
      <c r="D123" s="27" t="s">
        <v>218</v>
      </c>
      <c r="E123" s="109" t="s">
        <v>219</v>
      </c>
      <c r="F123" s="177"/>
      <c r="G123" s="177"/>
    </row>
    <row r="124" spans="1:7" ht="17.25" customHeight="1">
      <c r="A124" s="285" t="s">
        <v>226</v>
      </c>
      <c r="B124" s="286"/>
      <c r="C124" s="287"/>
      <c r="D124" s="45"/>
      <c r="E124" s="44"/>
      <c r="F124" s="177"/>
      <c r="G124" s="177"/>
    </row>
    <row r="125" spans="1:7" ht="17.25" customHeight="1">
      <c r="A125" s="50">
        <v>431</v>
      </c>
      <c r="B125" s="50">
        <v>6</v>
      </c>
      <c r="C125" s="50" t="s">
        <v>231</v>
      </c>
      <c r="D125" s="50" t="s">
        <v>314</v>
      </c>
      <c r="E125" s="50">
        <v>696</v>
      </c>
      <c r="F125" s="177"/>
      <c r="G125" s="177"/>
    </row>
    <row r="126" spans="1:7" ht="17.25" customHeight="1">
      <c r="A126" s="50">
        <v>431</v>
      </c>
      <c r="B126" s="50">
        <v>2</v>
      </c>
      <c r="C126" s="50" t="s">
        <v>228</v>
      </c>
      <c r="D126" s="50" t="s">
        <v>315</v>
      </c>
      <c r="E126" s="50">
        <v>174</v>
      </c>
      <c r="F126" s="177"/>
      <c r="G126" s="177"/>
    </row>
    <row r="127" spans="1:7" ht="17.25" customHeight="1">
      <c r="A127" s="182"/>
      <c r="B127" s="182">
        <f>SUM(B125:B126)</f>
        <v>8</v>
      </c>
      <c r="C127" s="182"/>
      <c r="D127" s="182"/>
      <c r="E127" s="182">
        <f>SUM(E125:E126)</f>
        <v>870</v>
      </c>
      <c r="F127" s="177"/>
      <c r="G127" s="177"/>
    </row>
    <row r="128" spans="1:7" ht="17.25" customHeight="1">
      <c r="A128" s="285" t="s">
        <v>220</v>
      </c>
      <c r="B128" s="286"/>
      <c r="C128" s="287"/>
      <c r="D128" s="182"/>
      <c r="E128" s="183"/>
      <c r="F128" s="177"/>
      <c r="G128" s="177"/>
    </row>
    <row r="129" spans="1:7" ht="17.25" customHeight="1">
      <c r="A129" s="50">
        <v>433</v>
      </c>
      <c r="B129" s="50">
        <v>2</v>
      </c>
      <c r="C129" s="145" t="s">
        <v>236</v>
      </c>
      <c r="D129" s="50" t="s">
        <v>316</v>
      </c>
      <c r="E129" s="50">
        <v>250</v>
      </c>
      <c r="F129" s="177"/>
      <c r="G129" s="177"/>
    </row>
    <row r="130" spans="1:7" ht="17.25" customHeight="1">
      <c r="A130" s="50">
        <v>432</v>
      </c>
      <c r="B130" s="50">
        <v>1</v>
      </c>
      <c r="C130" s="50" t="s">
        <v>231</v>
      </c>
      <c r="D130" s="50" t="s">
        <v>243</v>
      </c>
      <c r="E130" s="50">
        <v>90</v>
      </c>
      <c r="F130" s="177"/>
      <c r="G130" s="177"/>
    </row>
    <row r="131" spans="1:7" ht="17.25" customHeight="1">
      <c r="A131" s="50">
        <v>432</v>
      </c>
      <c r="B131" s="50">
        <v>1</v>
      </c>
      <c r="C131" s="145" t="s">
        <v>236</v>
      </c>
      <c r="D131" s="50" t="s">
        <v>243</v>
      </c>
      <c r="E131" s="50">
        <v>125</v>
      </c>
      <c r="F131" s="177"/>
      <c r="G131" s="177"/>
    </row>
    <row r="132" spans="1:7" ht="17.25" customHeight="1">
      <c r="A132" s="45"/>
      <c r="B132" s="182">
        <f>SUM(B129:B131)</f>
        <v>4</v>
      </c>
      <c r="C132" s="182"/>
      <c r="D132" s="182"/>
      <c r="E132" s="182">
        <f>SUM(E129:E131)</f>
        <v>465</v>
      </c>
      <c r="F132" s="177"/>
      <c r="G132" s="177"/>
    </row>
    <row r="133" spans="1:7" ht="17.25" customHeight="1">
      <c r="A133" s="182" t="s">
        <v>14</v>
      </c>
      <c r="B133" s="171">
        <f>B127+B132</f>
        <v>12</v>
      </c>
      <c r="C133" s="171"/>
      <c r="D133" s="171"/>
      <c r="E133" s="171">
        <f>E127+E132</f>
        <v>1335</v>
      </c>
      <c r="F133" s="177"/>
      <c r="G133" s="177"/>
    </row>
    <row r="134" spans="1:7" ht="17.25" customHeight="1">
      <c r="A134" s="189"/>
      <c r="B134" s="172"/>
      <c r="C134" s="173"/>
      <c r="D134" s="171"/>
      <c r="E134" s="171"/>
      <c r="F134" s="177"/>
      <c r="G134" s="177"/>
    </row>
    <row r="135" spans="1:7" ht="27" customHeight="1">
      <c r="A135" s="283" t="s">
        <v>440</v>
      </c>
      <c r="B135" s="284"/>
      <c r="C135" s="284"/>
      <c r="D135" s="284"/>
      <c r="E135" s="284"/>
      <c r="F135" s="177"/>
      <c r="G135" s="177"/>
    </row>
    <row r="136" spans="1:7" ht="23.25" customHeight="1">
      <c r="A136" s="27" t="s">
        <v>215</v>
      </c>
      <c r="B136" s="27" t="s">
        <v>216</v>
      </c>
      <c r="C136" s="27" t="s">
        <v>217</v>
      </c>
      <c r="D136" s="27" t="s">
        <v>218</v>
      </c>
      <c r="E136" s="109" t="s">
        <v>219</v>
      </c>
      <c r="F136" s="177"/>
      <c r="G136" s="177"/>
    </row>
    <row r="137" spans="1:7" ht="17.25" customHeight="1">
      <c r="A137" s="285" t="s">
        <v>220</v>
      </c>
      <c r="B137" s="286"/>
      <c r="C137" s="287"/>
      <c r="D137" s="190"/>
      <c r="E137" s="189"/>
      <c r="F137" s="177"/>
      <c r="G137" s="177"/>
    </row>
    <row r="138" spans="1:7" ht="17.25" customHeight="1">
      <c r="A138" s="149">
        <v>109</v>
      </c>
      <c r="B138" s="150">
        <v>25</v>
      </c>
      <c r="C138" s="150" t="s">
        <v>221</v>
      </c>
      <c r="D138" s="45" t="s">
        <v>318</v>
      </c>
      <c r="E138" s="218">
        <v>1149</v>
      </c>
      <c r="F138" s="177"/>
      <c r="G138" s="177"/>
    </row>
    <row r="139" spans="1:7" ht="17.25" customHeight="1">
      <c r="A139" s="150">
        <v>110</v>
      </c>
      <c r="B139" s="150">
        <v>29</v>
      </c>
      <c r="C139" s="150" t="s">
        <v>221</v>
      </c>
      <c r="D139" s="45" t="s">
        <v>319</v>
      </c>
      <c r="E139" s="218">
        <v>1347</v>
      </c>
      <c r="F139" s="177"/>
      <c r="G139" s="177"/>
    </row>
    <row r="140" spans="1:7" ht="17.25" customHeight="1">
      <c r="A140" s="45"/>
      <c r="B140" s="190">
        <f>SUM(B138:B139)</f>
        <v>54</v>
      </c>
      <c r="C140" s="190"/>
      <c r="D140" s="190"/>
      <c r="E140" s="189">
        <f>SUM(E138:E139)</f>
        <v>2496</v>
      </c>
      <c r="F140" s="177"/>
      <c r="G140" s="177"/>
    </row>
    <row r="141" spans="1:7" ht="17.25" customHeight="1">
      <c r="A141" s="190" t="s">
        <v>14</v>
      </c>
      <c r="B141" s="171">
        <f>B140</f>
        <v>54</v>
      </c>
      <c r="C141" s="171"/>
      <c r="D141" s="171"/>
      <c r="E141" s="171">
        <f>E140</f>
        <v>2496</v>
      </c>
      <c r="F141" s="177"/>
      <c r="G141" s="177"/>
    </row>
    <row r="142" spans="1:7" ht="17.25" customHeight="1">
      <c r="A142" s="189"/>
      <c r="B142" s="172"/>
      <c r="C142" s="173"/>
      <c r="D142" s="171"/>
      <c r="E142" s="171"/>
      <c r="F142" s="177"/>
      <c r="G142" s="177"/>
    </row>
    <row r="143" spans="1:7" ht="27.75" customHeight="1">
      <c r="A143" s="283" t="s">
        <v>441</v>
      </c>
      <c r="B143" s="284"/>
      <c r="C143" s="284"/>
      <c r="D143" s="284"/>
      <c r="E143" s="284"/>
      <c r="F143" s="177"/>
      <c r="G143" s="177"/>
    </row>
    <row r="144" spans="1:7" ht="24.75" customHeight="1">
      <c r="A144" s="27" t="s">
        <v>215</v>
      </c>
      <c r="B144" s="27" t="s">
        <v>216</v>
      </c>
      <c r="C144" s="27" t="s">
        <v>217</v>
      </c>
      <c r="D144" s="27" t="s">
        <v>218</v>
      </c>
      <c r="E144" s="109" t="s">
        <v>219</v>
      </c>
      <c r="F144" s="177"/>
      <c r="G144" s="177"/>
    </row>
    <row r="145" spans="1:7" ht="17.25" customHeight="1">
      <c r="A145" s="285" t="s">
        <v>226</v>
      </c>
      <c r="B145" s="286"/>
      <c r="C145" s="287"/>
      <c r="D145" s="45"/>
      <c r="E145" s="44"/>
      <c r="F145" s="177"/>
      <c r="G145" s="177"/>
    </row>
    <row r="146" spans="1:7" ht="17.25" customHeight="1">
      <c r="A146" s="117">
        <v>1288</v>
      </c>
      <c r="B146" s="117">
        <v>2</v>
      </c>
      <c r="C146" s="117" t="s">
        <v>227</v>
      </c>
      <c r="D146" s="85" t="s">
        <v>320</v>
      </c>
      <c r="E146" s="117">
        <v>110</v>
      </c>
      <c r="F146" s="177"/>
      <c r="G146" s="177"/>
    </row>
    <row r="147" spans="1:7" ht="17.25" customHeight="1">
      <c r="A147" s="85">
        <v>1289</v>
      </c>
      <c r="B147" s="117">
        <v>8</v>
      </c>
      <c r="C147" s="117" t="s">
        <v>221</v>
      </c>
      <c r="D147" s="85" t="s">
        <v>321</v>
      </c>
      <c r="E147" s="85">
        <v>624</v>
      </c>
      <c r="F147" s="177"/>
      <c r="G147" s="177"/>
    </row>
    <row r="148" spans="1:7" ht="17.25" customHeight="1">
      <c r="A148" s="85">
        <v>1290</v>
      </c>
      <c r="B148" s="45">
        <v>4</v>
      </c>
      <c r="C148" s="45" t="s">
        <v>231</v>
      </c>
      <c r="D148" s="45" t="s">
        <v>322</v>
      </c>
      <c r="E148" s="45">
        <v>440</v>
      </c>
      <c r="F148" s="177"/>
      <c r="G148" s="177"/>
    </row>
    <row r="149" spans="1:7" ht="17.25" customHeight="1">
      <c r="A149" s="190"/>
      <c r="B149" s="190">
        <f>SUM(B146:B148)</f>
        <v>14</v>
      </c>
      <c r="C149" s="190"/>
      <c r="D149" s="190"/>
      <c r="E149" s="190">
        <f>SUM(E146:E148)</f>
        <v>1174</v>
      </c>
      <c r="F149" s="177"/>
      <c r="G149" s="177"/>
    </row>
    <row r="150" spans="1:7" ht="17.25" customHeight="1">
      <c r="A150" s="285" t="s">
        <v>220</v>
      </c>
      <c r="B150" s="286"/>
      <c r="C150" s="287"/>
      <c r="D150" s="190"/>
      <c r="E150" s="189"/>
      <c r="F150" s="177"/>
      <c r="G150" s="177"/>
    </row>
    <row r="151" spans="1:7" ht="17.25" customHeight="1">
      <c r="A151" s="216">
        <v>1292</v>
      </c>
      <c r="B151" s="73">
        <v>3</v>
      </c>
      <c r="C151" s="208" t="s">
        <v>245</v>
      </c>
      <c r="D151" s="45" t="s">
        <v>323</v>
      </c>
      <c r="E151" s="73">
        <v>636</v>
      </c>
      <c r="F151" s="177"/>
      <c r="G151" s="177"/>
    </row>
    <row r="152" spans="1:7" ht="17.25" customHeight="1">
      <c r="A152" s="204">
        <v>1293</v>
      </c>
      <c r="B152" s="117">
        <v>3</v>
      </c>
      <c r="C152" s="208" t="s">
        <v>249</v>
      </c>
      <c r="D152" s="45" t="s">
        <v>324</v>
      </c>
      <c r="E152" s="85">
        <v>830</v>
      </c>
      <c r="F152" s="177"/>
      <c r="G152" s="177"/>
    </row>
    <row r="153" spans="1:7" ht="17.25" customHeight="1">
      <c r="A153" s="216">
        <v>1291</v>
      </c>
      <c r="B153" s="73">
        <v>25</v>
      </c>
      <c r="C153" s="45" t="s">
        <v>221</v>
      </c>
      <c r="D153" s="45" t="s">
        <v>318</v>
      </c>
      <c r="E153" s="73">
        <v>1426</v>
      </c>
      <c r="F153" s="177"/>
      <c r="G153" s="177"/>
    </row>
    <row r="154" spans="1:7" ht="17.25" customHeight="1">
      <c r="A154" s="45"/>
      <c r="B154" s="190">
        <f>SUM(B151:B153)</f>
        <v>31</v>
      </c>
      <c r="C154" s="190"/>
      <c r="D154" s="190"/>
      <c r="E154" s="189">
        <f>SUM(E151:E153)</f>
        <v>2892</v>
      </c>
      <c r="F154" s="177"/>
      <c r="G154" s="177"/>
    </row>
    <row r="155" spans="1:7" ht="17.25" customHeight="1">
      <c r="A155" s="190" t="s">
        <v>14</v>
      </c>
      <c r="B155" s="171">
        <f>B149+B154</f>
        <v>45</v>
      </c>
      <c r="C155" s="171"/>
      <c r="D155" s="171"/>
      <c r="E155" s="171">
        <f>E149+E154</f>
        <v>4066</v>
      </c>
      <c r="F155" s="177"/>
      <c r="G155" s="177"/>
    </row>
    <row r="156" spans="1:7" ht="17.25" customHeight="1">
      <c r="A156" s="192"/>
      <c r="B156" s="172"/>
      <c r="C156" s="173"/>
      <c r="D156" s="171"/>
      <c r="E156" s="171"/>
      <c r="F156" s="177"/>
      <c r="G156" s="177"/>
    </row>
    <row r="157" spans="1:7" ht="27" customHeight="1">
      <c r="A157" s="283" t="s">
        <v>442</v>
      </c>
      <c r="B157" s="284"/>
      <c r="C157" s="284"/>
      <c r="D157" s="284"/>
      <c r="E157" s="284"/>
      <c r="F157" s="177"/>
      <c r="G157" s="177"/>
    </row>
    <row r="158" spans="1:7" ht="27" customHeight="1">
      <c r="A158" s="27" t="s">
        <v>215</v>
      </c>
      <c r="B158" s="27" t="s">
        <v>216</v>
      </c>
      <c r="C158" s="27" t="s">
        <v>217</v>
      </c>
      <c r="D158" s="27" t="s">
        <v>218</v>
      </c>
      <c r="E158" s="109" t="s">
        <v>219</v>
      </c>
      <c r="F158" s="177"/>
      <c r="G158" s="177"/>
    </row>
    <row r="159" spans="1:7" ht="17.25" customHeight="1">
      <c r="A159" s="291" t="s">
        <v>226</v>
      </c>
      <c r="B159" s="292"/>
      <c r="C159" s="293"/>
      <c r="D159" s="27"/>
      <c r="E159" s="109"/>
      <c r="F159" s="177"/>
      <c r="G159" s="177"/>
    </row>
    <row r="160" spans="1:7" ht="17.25" customHeight="1">
      <c r="A160" s="27">
        <v>1123</v>
      </c>
      <c r="B160" s="261">
        <v>4</v>
      </c>
      <c r="C160" s="261" t="s">
        <v>231</v>
      </c>
      <c r="D160" s="27" t="s">
        <v>347</v>
      </c>
      <c r="E160" s="27">
        <v>448</v>
      </c>
      <c r="F160" s="177"/>
      <c r="G160" s="177"/>
    </row>
    <row r="161" spans="1:7" ht="17.25" customHeight="1">
      <c r="A161" s="27">
        <v>1124</v>
      </c>
      <c r="B161" s="261">
        <v>2</v>
      </c>
      <c r="C161" s="261" t="s">
        <v>228</v>
      </c>
      <c r="D161" s="27" t="s">
        <v>348</v>
      </c>
      <c r="E161" s="27">
        <v>166</v>
      </c>
      <c r="F161" s="177"/>
      <c r="G161" s="177"/>
    </row>
    <row r="162" spans="1:7" ht="17.25" customHeight="1">
      <c r="A162" s="27"/>
      <c r="B162" s="27">
        <f>SUM(B160:B161)</f>
        <v>6</v>
      </c>
      <c r="C162" s="27"/>
      <c r="D162" s="27"/>
      <c r="E162" s="27">
        <f>SUM(E160:E161)</f>
        <v>614</v>
      </c>
      <c r="F162" s="177"/>
      <c r="G162" s="177"/>
    </row>
    <row r="163" spans="1:7" ht="17.25" customHeight="1">
      <c r="A163" s="291" t="s">
        <v>220</v>
      </c>
      <c r="B163" s="292"/>
      <c r="C163" s="293"/>
      <c r="D163" s="27"/>
      <c r="E163" s="109"/>
      <c r="F163" s="177"/>
      <c r="G163" s="177"/>
    </row>
    <row r="164" spans="1:7" ht="17.25" customHeight="1">
      <c r="A164" s="262">
        <v>1120</v>
      </c>
      <c r="B164" s="263">
        <v>19</v>
      </c>
      <c r="C164" s="263" t="s">
        <v>231</v>
      </c>
      <c r="D164" s="27" t="s">
        <v>349</v>
      </c>
      <c r="E164" s="262">
        <v>1957</v>
      </c>
      <c r="F164" s="177"/>
      <c r="G164" s="177"/>
    </row>
    <row r="165" spans="1:7" ht="17.25" customHeight="1">
      <c r="A165" s="27">
        <v>1121</v>
      </c>
      <c r="B165" s="27">
        <v>20</v>
      </c>
      <c r="C165" s="263" t="s">
        <v>228</v>
      </c>
      <c r="D165" s="264" t="s">
        <v>350</v>
      </c>
      <c r="E165" s="27">
        <v>1860</v>
      </c>
      <c r="F165" s="177"/>
      <c r="G165" s="177"/>
    </row>
    <row r="166" spans="1:7" ht="17.25" customHeight="1">
      <c r="A166" s="27">
        <v>1122</v>
      </c>
      <c r="B166" s="27">
        <v>12</v>
      </c>
      <c r="C166" s="263" t="s">
        <v>228</v>
      </c>
      <c r="D166" s="264" t="s">
        <v>351</v>
      </c>
      <c r="E166" s="27">
        <v>1134</v>
      </c>
      <c r="F166" s="177"/>
      <c r="G166" s="177"/>
    </row>
    <row r="167" spans="1:7" ht="17.25" customHeight="1">
      <c r="A167" s="45"/>
      <c r="B167" s="191">
        <f>SUM(B164:B166)</f>
        <v>51</v>
      </c>
      <c r="C167" s="191"/>
      <c r="D167" s="191"/>
      <c r="E167" s="192">
        <f>SUM(E164:E166)</f>
        <v>4951</v>
      </c>
      <c r="F167" s="177"/>
      <c r="G167" s="177"/>
    </row>
    <row r="168" spans="1:7" ht="17.25" customHeight="1">
      <c r="A168" s="191" t="s">
        <v>14</v>
      </c>
      <c r="B168" s="171">
        <f>B162+B167</f>
        <v>57</v>
      </c>
      <c r="C168" s="171"/>
      <c r="D168" s="171"/>
      <c r="E168" s="171">
        <f>E162+E167</f>
        <v>5565</v>
      </c>
      <c r="F168" s="177"/>
      <c r="G168" s="177"/>
    </row>
    <row r="169" spans="1:7" ht="17.25" customHeight="1">
      <c r="A169" s="200"/>
      <c r="B169" s="172"/>
      <c r="C169" s="173"/>
      <c r="D169" s="171"/>
      <c r="E169" s="171"/>
      <c r="F169" s="177"/>
      <c r="G169" s="177"/>
    </row>
    <row r="170" spans="1:7" ht="30" customHeight="1">
      <c r="A170" s="283" t="s">
        <v>306</v>
      </c>
      <c r="B170" s="284"/>
      <c r="C170" s="284"/>
      <c r="D170" s="284"/>
      <c r="E170" s="284"/>
      <c r="F170" s="177" t="s">
        <v>327</v>
      </c>
      <c r="G170" s="177"/>
    </row>
    <row r="171" spans="1:7" ht="26.25" customHeight="1">
      <c r="A171" s="27" t="s">
        <v>215</v>
      </c>
      <c r="B171" s="27" t="s">
        <v>216</v>
      </c>
      <c r="C171" s="27" t="s">
        <v>217</v>
      </c>
      <c r="D171" s="27" t="s">
        <v>218</v>
      </c>
      <c r="E171" s="109" t="s">
        <v>219</v>
      </c>
      <c r="F171" s="177"/>
      <c r="G171" s="177"/>
    </row>
    <row r="172" spans="1:7" ht="17.25" customHeight="1">
      <c r="A172" s="285" t="s">
        <v>226</v>
      </c>
      <c r="B172" s="286"/>
      <c r="C172" s="287"/>
      <c r="D172" s="45"/>
      <c r="E172" s="44"/>
      <c r="F172" s="177"/>
      <c r="G172" s="177"/>
    </row>
    <row r="173" spans="1:7" ht="28.5" customHeight="1">
      <c r="A173" s="73" t="s">
        <v>355</v>
      </c>
      <c r="B173" s="73">
        <v>20</v>
      </c>
      <c r="C173" s="73" t="s">
        <v>227</v>
      </c>
      <c r="D173" s="45" t="s">
        <v>356</v>
      </c>
      <c r="E173" s="73">
        <v>1167.1</v>
      </c>
      <c r="F173" s="177"/>
      <c r="G173" s="177"/>
    </row>
    <row r="174" spans="1:7" ht="26.25" customHeight="1">
      <c r="A174" s="73" t="s">
        <v>357</v>
      </c>
      <c r="B174" s="73">
        <v>18</v>
      </c>
      <c r="C174" s="73" t="s">
        <v>221</v>
      </c>
      <c r="D174" s="45" t="s">
        <v>358</v>
      </c>
      <c r="E174" s="73">
        <v>1439.55</v>
      </c>
      <c r="F174" s="177"/>
      <c r="G174" s="177"/>
    </row>
    <row r="175" spans="1:7" ht="24" customHeight="1">
      <c r="A175" s="73" t="s">
        <v>359</v>
      </c>
      <c r="B175" s="73">
        <v>7</v>
      </c>
      <c r="C175" s="73" t="s">
        <v>231</v>
      </c>
      <c r="D175" s="45" t="s">
        <v>360</v>
      </c>
      <c r="E175" s="73">
        <v>735</v>
      </c>
      <c r="F175" s="177"/>
      <c r="G175" s="177"/>
    </row>
    <row r="176" spans="1:7" ht="24" customHeight="1">
      <c r="A176" s="73" t="s">
        <v>361</v>
      </c>
      <c r="B176" s="73">
        <v>10</v>
      </c>
      <c r="C176" s="73" t="s">
        <v>227</v>
      </c>
      <c r="D176" s="27" t="s">
        <v>362</v>
      </c>
      <c r="E176" s="73">
        <v>579.7</v>
      </c>
      <c r="F176" s="177"/>
      <c r="G176" s="177"/>
    </row>
    <row r="177" spans="1:7" ht="17.25" customHeight="1">
      <c r="A177" s="45"/>
      <c r="B177" s="199">
        <f>SUM(B173:B176)</f>
        <v>55</v>
      </c>
      <c r="C177" s="199"/>
      <c r="D177" s="199"/>
      <c r="E177" s="199">
        <f>SUM(E173:E176)</f>
        <v>3921.3499999999995</v>
      </c>
      <c r="F177" s="177"/>
      <c r="G177" s="177"/>
    </row>
    <row r="178" spans="1:7" ht="17.25" customHeight="1">
      <c r="A178" s="285" t="s">
        <v>220</v>
      </c>
      <c r="B178" s="286"/>
      <c r="C178" s="287"/>
      <c r="D178" s="45"/>
      <c r="E178" s="44"/>
      <c r="F178" s="177"/>
      <c r="G178" s="177"/>
    </row>
    <row r="179" spans="1:7" ht="17.25" customHeight="1">
      <c r="A179" s="73" t="s">
        <v>363</v>
      </c>
      <c r="B179" s="73">
        <v>18</v>
      </c>
      <c r="C179" s="45" t="s">
        <v>227</v>
      </c>
      <c r="D179" s="45" t="s">
        <v>364</v>
      </c>
      <c r="E179" s="73">
        <v>1075</v>
      </c>
      <c r="F179" s="177"/>
      <c r="G179" s="177"/>
    </row>
    <row r="180" spans="1:7" ht="17.25" customHeight="1">
      <c r="A180" s="73" t="s">
        <v>365</v>
      </c>
      <c r="B180" s="73">
        <v>8</v>
      </c>
      <c r="C180" s="247" t="s">
        <v>366</v>
      </c>
      <c r="D180" s="45" t="s">
        <v>367</v>
      </c>
      <c r="E180" s="45">
        <v>1046.4</v>
      </c>
      <c r="F180" s="177"/>
      <c r="G180" s="177"/>
    </row>
    <row r="181" spans="1:7" ht="17.25" customHeight="1">
      <c r="A181" s="73" t="s">
        <v>368</v>
      </c>
      <c r="B181" s="73">
        <v>3</v>
      </c>
      <c r="C181" s="243" t="s">
        <v>249</v>
      </c>
      <c r="D181" s="45" t="s">
        <v>369</v>
      </c>
      <c r="E181" s="73">
        <v>790</v>
      </c>
      <c r="F181" s="177"/>
      <c r="G181" s="177"/>
    </row>
    <row r="182" spans="1:7" ht="17.25" customHeight="1">
      <c r="A182" s="73" t="s">
        <v>370</v>
      </c>
      <c r="B182" s="73">
        <v>2</v>
      </c>
      <c r="C182" s="243" t="s">
        <v>236</v>
      </c>
      <c r="D182" s="45" t="s">
        <v>371</v>
      </c>
      <c r="E182" s="73">
        <v>185</v>
      </c>
      <c r="F182" s="177"/>
      <c r="G182" s="177"/>
    </row>
    <row r="183" spans="1:7" ht="17.25" customHeight="1">
      <c r="A183" s="73" t="s">
        <v>372</v>
      </c>
      <c r="B183" s="73">
        <v>20</v>
      </c>
      <c r="C183" s="45" t="s">
        <v>221</v>
      </c>
      <c r="D183" s="45" t="s">
        <v>373</v>
      </c>
      <c r="E183" s="73">
        <v>1218</v>
      </c>
      <c r="F183" s="177"/>
      <c r="G183" s="177"/>
    </row>
    <row r="184" spans="1:7" ht="17.25" customHeight="1">
      <c r="A184" s="73" t="s">
        <v>374</v>
      </c>
      <c r="B184" s="73">
        <v>1</v>
      </c>
      <c r="C184" s="45" t="s">
        <v>241</v>
      </c>
      <c r="D184" s="45" t="s">
        <v>375</v>
      </c>
      <c r="E184" s="73">
        <v>75</v>
      </c>
      <c r="F184" s="177"/>
      <c r="G184" s="177"/>
    </row>
    <row r="185" spans="1:7" ht="17.25" customHeight="1">
      <c r="A185" s="73" t="s">
        <v>376</v>
      </c>
      <c r="B185" s="73">
        <v>6</v>
      </c>
      <c r="C185" s="45" t="s">
        <v>381</v>
      </c>
      <c r="D185" s="45" t="s">
        <v>377</v>
      </c>
      <c r="E185" s="73">
        <v>366</v>
      </c>
      <c r="F185" s="177"/>
      <c r="G185" s="177"/>
    </row>
    <row r="186" spans="1:7" ht="17.25" customHeight="1">
      <c r="A186" s="73" t="s">
        <v>378</v>
      </c>
      <c r="B186" s="73">
        <v>8</v>
      </c>
      <c r="C186" s="45" t="s">
        <v>379</v>
      </c>
      <c r="D186" s="45" t="s">
        <v>380</v>
      </c>
      <c r="E186" s="73">
        <v>345</v>
      </c>
      <c r="F186" s="177"/>
      <c r="G186" s="177"/>
    </row>
    <row r="187" spans="1:7" ht="17.25" customHeight="1">
      <c r="A187" s="45"/>
      <c r="B187" s="199">
        <f>SUM(B179:B186)</f>
        <v>66</v>
      </c>
      <c r="C187" s="199"/>
      <c r="D187" s="199"/>
      <c r="E187" s="200">
        <f>SUM(E179:E186)</f>
        <v>5100.4</v>
      </c>
      <c r="F187" s="177"/>
      <c r="G187" s="177"/>
    </row>
    <row r="188" spans="1:7" ht="17.25" customHeight="1">
      <c r="A188" s="199" t="s">
        <v>14</v>
      </c>
      <c r="B188" s="171">
        <f>B177+B187</f>
        <v>121</v>
      </c>
      <c r="C188" s="171"/>
      <c r="D188" s="171"/>
      <c r="E188" s="171">
        <f>E177+E187</f>
        <v>9021.75</v>
      </c>
      <c r="F188" s="177"/>
      <c r="G188" s="177"/>
    </row>
    <row r="189" spans="1:7" ht="17.25" customHeight="1">
      <c r="A189" s="223"/>
      <c r="B189" s="172"/>
      <c r="C189" s="173"/>
      <c r="D189" s="171"/>
      <c r="E189" s="171"/>
      <c r="F189" s="177"/>
      <c r="G189" s="177"/>
    </row>
    <row r="190" spans="1:7" ht="28.5" customHeight="1">
      <c r="A190" s="283" t="s">
        <v>443</v>
      </c>
      <c r="B190" s="284"/>
      <c r="C190" s="284"/>
      <c r="D190" s="284"/>
      <c r="E190" s="284"/>
      <c r="F190" s="177"/>
      <c r="G190" s="177"/>
    </row>
    <row r="191" spans="1:7" ht="24.75" customHeight="1">
      <c r="A191" s="27" t="s">
        <v>215</v>
      </c>
      <c r="B191" s="27" t="s">
        <v>216</v>
      </c>
      <c r="C191" s="27" t="s">
        <v>217</v>
      </c>
      <c r="D191" s="27" t="s">
        <v>218</v>
      </c>
      <c r="E191" s="109" t="s">
        <v>219</v>
      </c>
      <c r="F191" s="177"/>
      <c r="G191" s="177"/>
    </row>
    <row r="192" spans="1:7" ht="17.25" customHeight="1">
      <c r="A192" s="285" t="s">
        <v>226</v>
      </c>
      <c r="B192" s="286"/>
      <c r="C192" s="287"/>
      <c r="D192" s="45"/>
      <c r="E192" s="44"/>
      <c r="F192" s="177"/>
      <c r="G192" s="177"/>
    </row>
    <row r="193" spans="1:7" ht="17.25" customHeight="1">
      <c r="A193" s="85">
        <v>760</v>
      </c>
      <c r="B193" s="45">
        <v>1</v>
      </c>
      <c r="C193" s="45" t="s">
        <v>228</v>
      </c>
      <c r="D193" s="45" t="s">
        <v>382</v>
      </c>
      <c r="E193" s="45">
        <v>70</v>
      </c>
      <c r="F193" s="177"/>
      <c r="G193" s="177"/>
    </row>
    <row r="194" spans="1:7" ht="17.25" customHeight="1">
      <c r="A194" s="45">
        <v>761</v>
      </c>
      <c r="B194" s="45">
        <v>5</v>
      </c>
      <c r="C194" s="45" t="s">
        <v>231</v>
      </c>
      <c r="D194" s="45" t="s">
        <v>383</v>
      </c>
      <c r="E194" s="45">
        <v>519</v>
      </c>
      <c r="F194" s="177"/>
      <c r="G194" s="177"/>
    </row>
    <row r="195" spans="1:7" ht="17.25" customHeight="1">
      <c r="A195" s="45"/>
      <c r="B195" s="222">
        <f>SUM(B193:B194)</f>
        <v>6</v>
      </c>
      <c r="C195" s="222"/>
      <c r="D195" s="222"/>
      <c r="E195" s="222">
        <f>SUM(E193:E194)</f>
        <v>589</v>
      </c>
      <c r="F195" s="177"/>
      <c r="G195" s="177"/>
    </row>
    <row r="196" spans="1:7" ht="17.25" customHeight="1">
      <c r="A196" s="285" t="s">
        <v>220</v>
      </c>
      <c r="B196" s="286"/>
      <c r="C196" s="287"/>
      <c r="D196" s="45"/>
      <c r="E196" s="44"/>
      <c r="F196" s="177"/>
      <c r="G196" s="177"/>
    </row>
    <row r="197" spans="1:7" ht="27" customHeight="1">
      <c r="A197" s="45">
        <v>764</v>
      </c>
      <c r="B197" s="73">
        <v>20</v>
      </c>
      <c r="C197" s="181" t="s">
        <v>366</v>
      </c>
      <c r="D197" s="45" t="s">
        <v>385</v>
      </c>
      <c r="E197" s="45">
        <v>2158</v>
      </c>
      <c r="F197" s="177"/>
      <c r="G197" s="177"/>
    </row>
    <row r="198" spans="1:7" ht="17.25" customHeight="1">
      <c r="A198" s="50">
        <v>762</v>
      </c>
      <c r="B198" s="50">
        <v>8</v>
      </c>
      <c r="C198" s="50" t="s">
        <v>221</v>
      </c>
      <c r="D198" s="45" t="s">
        <v>380</v>
      </c>
      <c r="E198" s="50">
        <v>583</v>
      </c>
      <c r="F198" s="177"/>
      <c r="G198" s="177"/>
    </row>
    <row r="199" spans="1:7" ht="17.25" customHeight="1">
      <c r="A199" s="50">
        <v>763</v>
      </c>
      <c r="B199" s="50">
        <v>2</v>
      </c>
      <c r="C199" s="50" t="s">
        <v>241</v>
      </c>
      <c r="D199" s="45" t="s">
        <v>384</v>
      </c>
      <c r="E199" s="50">
        <v>162</v>
      </c>
      <c r="F199" s="177"/>
      <c r="G199" s="177"/>
    </row>
    <row r="200" spans="1:7" ht="17.25" customHeight="1">
      <c r="A200" s="45"/>
      <c r="B200" s="222">
        <f>SUM(B197:B199)</f>
        <v>30</v>
      </c>
      <c r="C200" s="222"/>
      <c r="D200" s="222"/>
      <c r="E200" s="223">
        <f>SUM(E197:E199)</f>
        <v>2903</v>
      </c>
      <c r="F200" s="177"/>
      <c r="G200" s="177"/>
    </row>
    <row r="201" spans="1:7" ht="17.25" customHeight="1">
      <c r="A201" s="222" t="s">
        <v>14</v>
      </c>
      <c r="B201" s="171">
        <f>B195+B200</f>
        <v>36</v>
      </c>
      <c r="C201" s="171"/>
      <c r="D201" s="171"/>
      <c r="E201" s="171">
        <f>E195+E200</f>
        <v>3492</v>
      </c>
      <c r="F201" s="177"/>
      <c r="G201" s="177"/>
    </row>
    <row r="202" spans="1:7" ht="17.25" customHeight="1">
      <c r="A202" s="223"/>
      <c r="B202" s="172"/>
      <c r="C202" s="173"/>
      <c r="D202" s="171"/>
      <c r="E202" s="171"/>
      <c r="F202" s="177"/>
      <c r="G202" s="177"/>
    </row>
    <row r="203" spans="1:7" ht="26.25" customHeight="1">
      <c r="A203" s="283" t="s">
        <v>444</v>
      </c>
      <c r="B203" s="284"/>
      <c r="C203" s="284"/>
      <c r="D203" s="284"/>
      <c r="E203" s="284"/>
      <c r="F203" s="177"/>
      <c r="G203" s="177"/>
    </row>
    <row r="204" spans="1:7" ht="17.25" customHeight="1">
      <c r="A204" s="27" t="s">
        <v>215</v>
      </c>
      <c r="B204" s="27" t="s">
        <v>216</v>
      </c>
      <c r="C204" s="27" t="s">
        <v>217</v>
      </c>
      <c r="D204" s="27" t="s">
        <v>218</v>
      </c>
      <c r="E204" s="109" t="s">
        <v>219</v>
      </c>
      <c r="F204" s="177"/>
      <c r="G204" s="177"/>
    </row>
    <row r="205" spans="1:7" ht="17.25" customHeight="1">
      <c r="A205" s="285" t="s">
        <v>226</v>
      </c>
      <c r="B205" s="286"/>
      <c r="C205" s="287"/>
      <c r="D205" s="45"/>
      <c r="E205" s="44"/>
      <c r="F205" s="177"/>
      <c r="G205" s="177"/>
    </row>
    <row r="206" spans="1:7" ht="17.25" customHeight="1">
      <c r="A206" s="187">
        <v>434</v>
      </c>
      <c r="B206" s="187">
        <v>5</v>
      </c>
      <c r="C206" s="187" t="s">
        <v>231</v>
      </c>
      <c r="D206" s="185" t="s">
        <v>386</v>
      </c>
      <c r="E206" s="187">
        <v>540</v>
      </c>
      <c r="F206" s="177"/>
      <c r="G206" s="177"/>
    </row>
    <row r="207" spans="1:7" ht="17.25" customHeight="1">
      <c r="A207" s="187">
        <v>434</v>
      </c>
      <c r="B207" s="187">
        <v>1</v>
      </c>
      <c r="C207" s="187" t="s">
        <v>228</v>
      </c>
      <c r="D207" s="169" t="s">
        <v>387</v>
      </c>
      <c r="E207" s="187">
        <v>85</v>
      </c>
      <c r="F207" s="177"/>
      <c r="G207" s="177"/>
    </row>
    <row r="208" spans="1:7" ht="17.25" customHeight="1">
      <c r="A208" s="45"/>
      <c r="B208" s="222">
        <f>SUM(B206:B207)</f>
        <v>6</v>
      </c>
      <c r="C208" s="222"/>
      <c r="D208" s="222"/>
      <c r="E208" s="222">
        <f>SUM(E206:E207)</f>
        <v>625</v>
      </c>
      <c r="F208" s="177"/>
      <c r="G208" s="177"/>
    </row>
    <row r="209" spans="1:7" ht="17.25" customHeight="1">
      <c r="A209" s="285" t="s">
        <v>220</v>
      </c>
      <c r="B209" s="286"/>
      <c r="C209" s="287"/>
      <c r="D209" s="45"/>
      <c r="E209" s="44"/>
      <c r="F209" s="177"/>
      <c r="G209" s="177"/>
    </row>
    <row r="210" spans="1:7" ht="17.25" customHeight="1">
      <c r="A210" s="21">
        <v>436</v>
      </c>
      <c r="B210" s="249">
        <v>1</v>
      </c>
      <c r="C210" s="186" t="s">
        <v>236</v>
      </c>
      <c r="D210" s="249" t="s">
        <v>388</v>
      </c>
      <c r="E210" s="249">
        <v>124</v>
      </c>
      <c r="F210" s="177"/>
      <c r="G210" s="177"/>
    </row>
    <row r="211" spans="1:7" ht="17.25" customHeight="1">
      <c r="A211" s="187">
        <v>435</v>
      </c>
      <c r="B211" s="248">
        <v>1</v>
      </c>
      <c r="C211" s="248" t="s">
        <v>228</v>
      </c>
      <c r="D211" s="142" t="s">
        <v>375</v>
      </c>
      <c r="E211" s="250">
        <v>60</v>
      </c>
      <c r="F211" s="177"/>
      <c r="G211" s="177"/>
    </row>
    <row r="212" spans="1:7" ht="17.25" customHeight="1">
      <c r="A212" s="21">
        <v>435</v>
      </c>
      <c r="B212" s="249">
        <v>5</v>
      </c>
      <c r="C212" s="249" t="s">
        <v>231</v>
      </c>
      <c r="D212" s="142" t="s">
        <v>390</v>
      </c>
      <c r="E212" s="249">
        <v>450</v>
      </c>
      <c r="F212" s="177"/>
      <c r="G212" s="177"/>
    </row>
    <row r="213" spans="1:7" ht="17.25" customHeight="1">
      <c r="A213" s="21">
        <v>435</v>
      </c>
      <c r="B213" s="249">
        <v>2</v>
      </c>
      <c r="C213" s="186" t="s">
        <v>236</v>
      </c>
      <c r="D213" s="249" t="s">
        <v>389</v>
      </c>
      <c r="E213" s="249">
        <v>225</v>
      </c>
      <c r="F213" s="177"/>
      <c r="G213" s="177"/>
    </row>
    <row r="214" spans="1:7" ht="17.25" customHeight="1">
      <c r="A214" s="45"/>
      <c r="B214" s="222">
        <f>SUM(B210:B213)</f>
        <v>9</v>
      </c>
      <c r="C214" s="222"/>
      <c r="D214" s="222"/>
      <c r="E214" s="223">
        <f>SUM(E210:E213)</f>
        <v>859</v>
      </c>
      <c r="F214" s="177"/>
      <c r="G214" s="177"/>
    </row>
    <row r="215" spans="1:7" ht="17.25" customHeight="1">
      <c r="A215" s="222" t="s">
        <v>14</v>
      </c>
      <c r="B215" s="171">
        <f>B208+B214</f>
        <v>15</v>
      </c>
      <c r="C215" s="171"/>
      <c r="D215" s="171"/>
      <c r="E215" s="171">
        <f>E208+E214</f>
        <v>1484</v>
      </c>
      <c r="F215" s="177"/>
      <c r="G215" s="177"/>
    </row>
    <row r="216" spans="1:7" ht="17.25" customHeight="1">
      <c r="A216" s="223"/>
      <c r="B216" s="172"/>
      <c r="C216" s="173"/>
      <c r="D216" s="171"/>
      <c r="E216" s="171"/>
      <c r="F216" s="177"/>
      <c r="G216" s="177"/>
    </row>
    <row r="217" spans="1:7" ht="27" customHeight="1">
      <c r="A217" s="283" t="s">
        <v>445</v>
      </c>
      <c r="B217" s="284"/>
      <c r="C217" s="284"/>
      <c r="D217" s="284"/>
      <c r="E217" s="284"/>
      <c r="F217" s="177"/>
      <c r="G217" s="177"/>
    </row>
    <row r="218" spans="1:7" ht="23.25" customHeight="1">
      <c r="A218" s="27" t="s">
        <v>215</v>
      </c>
      <c r="B218" s="27" t="s">
        <v>216</v>
      </c>
      <c r="C218" s="27" t="s">
        <v>217</v>
      </c>
      <c r="D218" s="27" t="s">
        <v>218</v>
      </c>
      <c r="E218" s="109" t="s">
        <v>219</v>
      </c>
      <c r="F218" s="177"/>
      <c r="G218" s="177"/>
    </row>
    <row r="219" spans="1:7" ht="17.25" customHeight="1">
      <c r="A219" s="285" t="s">
        <v>226</v>
      </c>
      <c r="B219" s="286"/>
      <c r="C219" s="287"/>
      <c r="D219" s="45"/>
      <c r="E219" s="44"/>
      <c r="F219" s="177"/>
      <c r="G219" s="177"/>
    </row>
    <row r="220" spans="1:7" ht="17.25" customHeight="1">
      <c r="A220" s="45">
        <v>1002</v>
      </c>
      <c r="B220" s="45">
        <v>4</v>
      </c>
      <c r="C220" s="45" t="s">
        <v>241</v>
      </c>
      <c r="D220" s="45" t="s">
        <v>391</v>
      </c>
      <c r="E220" s="45">
        <v>426</v>
      </c>
      <c r="F220" s="177"/>
      <c r="G220" s="177"/>
    </row>
    <row r="221" spans="1:7" ht="17.25" customHeight="1">
      <c r="A221" s="45">
        <v>1006</v>
      </c>
      <c r="B221" s="45">
        <v>1</v>
      </c>
      <c r="C221" s="45" t="s">
        <v>221</v>
      </c>
      <c r="D221" s="45" t="s">
        <v>392</v>
      </c>
      <c r="E221" s="45">
        <v>72</v>
      </c>
      <c r="F221" s="177"/>
      <c r="G221" s="177"/>
    </row>
    <row r="222" spans="1:7" ht="17.25" customHeight="1">
      <c r="A222" s="45">
        <v>1007</v>
      </c>
      <c r="B222" s="45">
        <v>2</v>
      </c>
      <c r="C222" s="45" t="s">
        <v>241</v>
      </c>
      <c r="D222" s="45" t="s">
        <v>393</v>
      </c>
      <c r="E222" s="45">
        <v>213</v>
      </c>
      <c r="F222" s="177"/>
      <c r="G222" s="177"/>
    </row>
    <row r="223" spans="1:7" ht="17.25" customHeight="1">
      <c r="A223" s="45"/>
      <c r="B223" s="224">
        <f>SUM(B220:B222)</f>
        <v>7</v>
      </c>
      <c r="C223" s="224"/>
      <c r="D223" s="222"/>
      <c r="E223" s="222">
        <f>SUM(E220:E222)</f>
        <v>711</v>
      </c>
      <c r="F223" s="177"/>
      <c r="G223" s="177"/>
    </row>
    <row r="224" spans="1:7" ht="17.25" customHeight="1">
      <c r="A224" s="285" t="s">
        <v>220</v>
      </c>
      <c r="B224" s="286"/>
      <c r="C224" s="287"/>
      <c r="D224" s="45"/>
      <c r="E224" s="44"/>
      <c r="F224" s="177"/>
      <c r="G224" s="177"/>
    </row>
    <row r="225" spans="1:7" ht="17.25" customHeight="1">
      <c r="A225" s="85">
        <v>1003</v>
      </c>
      <c r="B225" s="117">
        <v>27</v>
      </c>
      <c r="C225" s="85" t="s">
        <v>221</v>
      </c>
      <c r="D225" s="45" t="s">
        <v>394</v>
      </c>
      <c r="E225" s="85">
        <v>2471</v>
      </c>
      <c r="F225" s="177"/>
      <c r="G225" s="225"/>
    </row>
    <row r="226" spans="1:7" ht="17.25" customHeight="1">
      <c r="A226" s="85">
        <v>1004</v>
      </c>
      <c r="B226" s="117">
        <v>3</v>
      </c>
      <c r="C226" s="85" t="s">
        <v>221</v>
      </c>
      <c r="D226" s="45" t="s">
        <v>395</v>
      </c>
      <c r="E226" s="85">
        <v>264</v>
      </c>
      <c r="F226" s="177"/>
      <c r="G226" s="177"/>
    </row>
    <row r="227" spans="1:7" ht="17.25" customHeight="1">
      <c r="A227" s="85">
        <v>1005</v>
      </c>
      <c r="B227" s="117">
        <v>1</v>
      </c>
      <c r="C227" s="85" t="s">
        <v>231</v>
      </c>
      <c r="D227" s="45" t="s">
        <v>375</v>
      </c>
      <c r="E227" s="85">
        <v>100</v>
      </c>
      <c r="F227" s="177"/>
      <c r="G227" s="177"/>
    </row>
    <row r="228" spans="1:7" ht="17.25" customHeight="1">
      <c r="A228" s="85">
        <v>1009</v>
      </c>
      <c r="B228" s="117">
        <v>8</v>
      </c>
      <c r="C228" s="85" t="s">
        <v>221</v>
      </c>
      <c r="D228" s="45" t="s">
        <v>380</v>
      </c>
      <c r="E228" s="85">
        <v>734</v>
      </c>
      <c r="F228" s="177"/>
      <c r="G228" s="177"/>
    </row>
    <row r="229" spans="1:7" ht="17.25" customHeight="1">
      <c r="A229" s="85">
        <v>1010</v>
      </c>
      <c r="B229" s="117">
        <v>3</v>
      </c>
      <c r="C229" s="85" t="s">
        <v>221</v>
      </c>
      <c r="D229" s="45" t="s">
        <v>395</v>
      </c>
      <c r="E229" s="85">
        <v>254</v>
      </c>
      <c r="F229" s="177"/>
      <c r="G229" s="177"/>
    </row>
    <row r="230" spans="1:7" ht="17.25" customHeight="1">
      <c r="A230" s="85">
        <v>1011</v>
      </c>
      <c r="B230" s="117">
        <v>1</v>
      </c>
      <c r="C230" s="85" t="s">
        <v>241</v>
      </c>
      <c r="D230" s="45" t="s">
        <v>375</v>
      </c>
      <c r="E230" s="85">
        <v>100</v>
      </c>
      <c r="F230" s="177"/>
      <c r="G230" s="177"/>
    </row>
    <row r="231" spans="1:7" ht="17.25" customHeight="1">
      <c r="A231" s="45"/>
      <c r="B231" s="224">
        <f>SUM(B225:B230)</f>
        <v>43</v>
      </c>
      <c r="C231" s="224"/>
      <c r="D231" s="222"/>
      <c r="E231" s="223">
        <f>SUM(E225:E230)</f>
        <v>3923</v>
      </c>
      <c r="F231" s="177"/>
      <c r="G231" s="177"/>
    </row>
    <row r="232" spans="1:7" ht="17.25" customHeight="1">
      <c r="A232" s="285" t="s">
        <v>233</v>
      </c>
      <c r="B232" s="286"/>
      <c r="C232" s="287"/>
      <c r="D232" s="222"/>
      <c r="E232" s="223"/>
      <c r="F232" s="177"/>
      <c r="G232" s="177"/>
    </row>
    <row r="233" spans="1:7" ht="17.25" customHeight="1">
      <c r="A233" s="85">
        <v>1008</v>
      </c>
      <c r="B233" s="117">
        <v>1</v>
      </c>
      <c r="C233" s="85" t="s">
        <v>221</v>
      </c>
      <c r="D233" s="45" t="s">
        <v>375</v>
      </c>
      <c r="E233" s="85">
        <v>45</v>
      </c>
      <c r="F233" s="177"/>
      <c r="G233" s="177"/>
    </row>
    <row r="234" spans="1:7" ht="17.25" customHeight="1">
      <c r="A234" s="45"/>
      <c r="B234" s="222">
        <f>B233</f>
        <v>1</v>
      </c>
      <c r="C234" s="222"/>
      <c r="D234" s="222"/>
      <c r="E234" s="222">
        <f>E233</f>
        <v>45</v>
      </c>
      <c r="F234" s="177"/>
      <c r="G234" s="177"/>
    </row>
    <row r="235" spans="1:7" ht="17.25" customHeight="1">
      <c r="A235" s="222" t="s">
        <v>14</v>
      </c>
      <c r="B235" s="171">
        <f>B223+B231+B234</f>
        <v>51</v>
      </c>
      <c r="C235" s="171"/>
      <c r="D235" s="171"/>
      <c r="E235" s="171">
        <f>E223+E231+E234</f>
        <v>4679</v>
      </c>
      <c r="F235" s="177"/>
      <c r="G235" s="177"/>
    </row>
    <row r="236" spans="1:7" ht="17.25" customHeight="1">
      <c r="A236" s="228"/>
      <c r="B236" s="172"/>
      <c r="C236" s="173"/>
      <c r="D236" s="171"/>
      <c r="E236" s="171"/>
      <c r="F236" s="177"/>
      <c r="G236" s="177"/>
    </row>
    <row r="237" spans="1:7" ht="25.5" customHeight="1">
      <c r="A237" s="283" t="s">
        <v>446</v>
      </c>
      <c r="B237" s="284"/>
      <c r="C237" s="284"/>
      <c r="D237" s="284"/>
      <c r="E237" s="284"/>
      <c r="F237" s="177"/>
      <c r="G237" s="177"/>
    </row>
    <row r="238" spans="1:7" ht="22.5" customHeight="1">
      <c r="A238" s="27" t="s">
        <v>215</v>
      </c>
      <c r="B238" s="27" t="s">
        <v>216</v>
      </c>
      <c r="C238" s="27" t="s">
        <v>217</v>
      </c>
      <c r="D238" s="27" t="s">
        <v>218</v>
      </c>
      <c r="E238" s="109" t="s">
        <v>219</v>
      </c>
      <c r="F238" s="177"/>
      <c r="G238" s="177"/>
    </row>
    <row r="239" spans="1:7" ht="17.25" customHeight="1">
      <c r="A239" s="291" t="s">
        <v>226</v>
      </c>
      <c r="B239" s="292"/>
      <c r="C239" s="293"/>
      <c r="D239" s="27"/>
      <c r="E239" s="109"/>
      <c r="F239" s="177"/>
      <c r="G239" s="177"/>
    </row>
    <row r="240" spans="1:7" ht="17.25" customHeight="1">
      <c r="A240" s="262" t="s">
        <v>424</v>
      </c>
      <c r="B240" s="263">
        <v>5</v>
      </c>
      <c r="C240" s="263" t="s">
        <v>227</v>
      </c>
      <c r="D240" s="263" t="s">
        <v>414</v>
      </c>
      <c r="E240" s="262">
        <v>303</v>
      </c>
      <c r="F240" s="177"/>
      <c r="G240" s="177"/>
    </row>
    <row r="241" spans="1:7" ht="17.25" customHeight="1">
      <c r="A241" s="27" t="s">
        <v>425</v>
      </c>
      <c r="B241" s="27">
        <v>12</v>
      </c>
      <c r="C241" s="27" t="s">
        <v>228</v>
      </c>
      <c r="D241" s="27" t="s">
        <v>415</v>
      </c>
      <c r="E241" s="27">
        <v>941</v>
      </c>
      <c r="F241" s="177"/>
      <c r="G241" s="177"/>
    </row>
    <row r="242" spans="1:7" ht="17.25" customHeight="1">
      <c r="A242" s="27" t="s">
        <v>426</v>
      </c>
      <c r="B242" s="27">
        <v>4</v>
      </c>
      <c r="C242" s="27" t="s">
        <v>231</v>
      </c>
      <c r="D242" s="27" t="s">
        <v>421</v>
      </c>
      <c r="E242" s="27">
        <v>422</v>
      </c>
      <c r="F242" s="177"/>
      <c r="G242" s="177"/>
    </row>
    <row r="243" spans="1:7" ht="17.25" customHeight="1">
      <c r="A243" s="27"/>
      <c r="B243" s="88">
        <f>SUM(B240:B242)</f>
        <v>21</v>
      </c>
      <c r="C243" s="88"/>
      <c r="D243" s="88"/>
      <c r="E243" s="88">
        <f>SUM(E240:E242)</f>
        <v>1666</v>
      </c>
      <c r="F243" s="177"/>
      <c r="G243" s="177"/>
    </row>
    <row r="244" spans="1:7" ht="17.25" customHeight="1">
      <c r="A244" s="291" t="s">
        <v>220</v>
      </c>
      <c r="B244" s="292"/>
      <c r="C244" s="293"/>
      <c r="D244" s="27"/>
      <c r="E244" s="109"/>
      <c r="F244" s="177"/>
      <c r="G244" s="177"/>
    </row>
    <row r="245" spans="1:7" ht="17.25" customHeight="1">
      <c r="A245" s="262" t="s">
        <v>427</v>
      </c>
      <c r="B245" s="265">
        <v>11</v>
      </c>
      <c r="C245" s="266" t="s">
        <v>227</v>
      </c>
      <c r="D245" s="265" t="s">
        <v>416</v>
      </c>
      <c r="E245" s="266">
        <v>562</v>
      </c>
      <c r="F245" s="177"/>
      <c r="G245" s="177"/>
    </row>
    <row r="246" spans="1:7" ht="17.25" customHeight="1">
      <c r="A246" s="27" t="s">
        <v>432</v>
      </c>
      <c r="B246" s="267">
        <v>4</v>
      </c>
      <c r="C246" s="247" t="s">
        <v>245</v>
      </c>
      <c r="D246" s="267" t="s">
        <v>417</v>
      </c>
      <c r="E246" s="267">
        <v>882</v>
      </c>
      <c r="F246" s="177"/>
      <c r="G246" s="177"/>
    </row>
    <row r="247" spans="1:7" ht="17.25" customHeight="1">
      <c r="A247" s="27" t="s">
        <v>429</v>
      </c>
      <c r="B247" s="267">
        <v>3</v>
      </c>
      <c r="C247" s="247" t="s">
        <v>249</v>
      </c>
      <c r="D247" s="267" t="s">
        <v>418</v>
      </c>
      <c r="E247" s="267">
        <v>865</v>
      </c>
      <c r="F247" s="177"/>
      <c r="G247" s="177"/>
    </row>
    <row r="248" spans="1:7" ht="17.25" customHeight="1">
      <c r="A248" s="27" t="s">
        <v>430</v>
      </c>
      <c r="B248" s="267">
        <v>2</v>
      </c>
      <c r="C248" s="267" t="s">
        <v>227</v>
      </c>
      <c r="D248" s="267" t="s">
        <v>422</v>
      </c>
      <c r="E248" s="267">
        <v>105</v>
      </c>
      <c r="F248" s="177"/>
      <c r="G248" s="177"/>
    </row>
    <row r="249" spans="1:7" ht="17.25" customHeight="1">
      <c r="A249" s="27" t="s">
        <v>431</v>
      </c>
      <c r="B249" s="267">
        <v>2</v>
      </c>
      <c r="C249" s="267" t="s">
        <v>228</v>
      </c>
      <c r="D249" s="267" t="s">
        <v>423</v>
      </c>
      <c r="E249" s="267">
        <v>122</v>
      </c>
      <c r="F249" s="177"/>
      <c r="G249" s="177"/>
    </row>
    <row r="250" spans="1:7" ht="17.25" customHeight="1">
      <c r="A250" s="45"/>
      <c r="B250" s="230">
        <f>SUM(B245:B249)</f>
        <v>22</v>
      </c>
      <c r="C250" s="230"/>
      <c r="D250" s="230"/>
      <c r="E250" s="228">
        <f>SUM(E245:E249)</f>
        <v>2536</v>
      </c>
      <c r="F250" s="177"/>
      <c r="G250" s="177"/>
    </row>
    <row r="251" spans="1:7" ht="17.25" customHeight="1">
      <c r="A251" s="285" t="s">
        <v>232</v>
      </c>
      <c r="B251" s="286"/>
      <c r="C251" s="287"/>
      <c r="D251" s="230"/>
      <c r="E251" s="228"/>
      <c r="F251" s="177"/>
      <c r="G251" s="177"/>
    </row>
    <row r="252" spans="1:7" ht="17.25" customHeight="1">
      <c r="A252" s="45" t="s">
        <v>428</v>
      </c>
      <c r="B252" s="73">
        <v>3</v>
      </c>
      <c r="C252" s="73" t="s">
        <v>228</v>
      </c>
      <c r="D252" s="73" t="s">
        <v>420</v>
      </c>
      <c r="E252" s="45">
        <v>164</v>
      </c>
      <c r="F252" s="177"/>
      <c r="G252" s="177"/>
    </row>
    <row r="253" spans="1:7" ht="17.25" customHeight="1">
      <c r="A253" s="45"/>
      <c r="B253" s="230">
        <f>B252</f>
        <v>3</v>
      </c>
      <c r="C253" s="230"/>
      <c r="D253" s="230"/>
      <c r="E253" s="230">
        <f>E252</f>
        <v>164</v>
      </c>
      <c r="F253" s="177"/>
      <c r="G253" s="177"/>
    </row>
    <row r="254" spans="1:7" ht="17.25" customHeight="1">
      <c r="A254" s="285" t="s">
        <v>233</v>
      </c>
      <c r="B254" s="286"/>
      <c r="C254" s="287"/>
      <c r="D254" s="230"/>
      <c r="E254" s="230"/>
      <c r="F254" s="177"/>
      <c r="G254" s="177"/>
    </row>
    <row r="255" spans="1:7" ht="17.25" customHeight="1">
      <c r="A255" s="45" t="s">
        <v>433</v>
      </c>
      <c r="B255" s="45">
        <v>1</v>
      </c>
      <c r="C255" s="45" t="s">
        <v>228</v>
      </c>
      <c r="D255" s="45" t="s">
        <v>419</v>
      </c>
      <c r="E255" s="45">
        <v>64</v>
      </c>
      <c r="F255" s="177"/>
      <c r="G255" s="177"/>
    </row>
    <row r="256" spans="1:7" ht="17.25" customHeight="1">
      <c r="A256" s="229"/>
      <c r="B256" s="231">
        <f>B255</f>
        <v>1</v>
      </c>
      <c r="C256" s="231"/>
      <c r="D256" s="231"/>
      <c r="E256" s="231">
        <f>E255</f>
        <v>64</v>
      </c>
      <c r="F256" s="177"/>
      <c r="G256" s="177"/>
    </row>
    <row r="257" spans="1:7" ht="17.25" customHeight="1">
      <c r="A257" s="230" t="s">
        <v>14</v>
      </c>
      <c r="B257" s="171">
        <f>B243+B250+B253+B256</f>
        <v>47</v>
      </c>
      <c r="C257" s="171"/>
      <c r="D257" s="171"/>
      <c r="E257" s="171">
        <f>E243+E250+E253+E256</f>
        <v>4430</v>
      </c>
      <c r="F257" s="177"/>
      <c r="G257" s="177"/>
    </row>
    <row r="258" spans="1:7" ht="17.25" customHeight="1">
      <c r="A258" s="244"/>
      <c r="B258" s="172"/>
      <c r="C258" s="173"/>
      <c r="D258" s="171"/>
      <c r="E258" s="171"/>
      <c r="F258" s="177"/>
      <c r="G258" s="177"/>
    </row>
    <row r="259" spans="1:7" ht="32.25" customHeight="1">
      <c r="A259" s="283" t="s">
        <v>447</v>
      </c>
      <c r="B259" s="284"/>
      <c r="C259" s="284"/>
      <c r="D259" s="284"/>
      <c r="E259" s="284"/>
      <c r="F259" s="177"/>
      <c r="G259" s="177"/>
    </row>
    <row r="260" spans="1:7" ht="24" customHeight="1">
      <c r="A260" s="27" t="s">
        <v>215</v>
      </c>
      <c r="B260" s="27" t="s">
        <v>216</v>
      </c>
      <c r="C260" s="27" t="s">
        <v>217</v>
      </c>
      <c r="D260" s="27" t="s">
        <v>218</v>
      </c>
      <c r="E260" s="109" t="s">
        <v>219</v>
      </c>
      <c r="F260" s="177"/>
      <c r="G260" s="177"/>
    </row>
    <row r="261" spans="1:7" ht="17.25" customHeight="1">
      <c r="A261" s="285" t="s">
        <v>226</v>
      </c>
      <c r="B261" s="286"/>
      <c r="C261" s="287"/>
      <c r="D261" s="45"/>
      <c r="E261" s="44"/>
      <c r="F261" s="177"/>
      <c r="G261" s="177"/>
    </row>
    <row r="262" spans="1:7" ht="17.25" customHeight="1">
      <c r="A262" s="270">
        <v>904</v>
      </c>
      <c r="B262" s="178">
        <v>2</v>
      </c>
      <c r="C262" s="178" t="s">
        <v>227</v>
      </c>
      <c r="D262" s="242" t="s">
        <v>448</v>
      </c>
      <c r="E262" s="242">
        <v>119</v>
      </c>
      <c r="F262" s="177"/>
      <c r="G262" s="177"/>
    </row>
    <row r="263" spans="1:7" ht="24" customHeight="1">
      <c r="A263" s="270">
        <v>905</v>
      </c>
      <c r="B263" s="270">
        <v>24</v>
      </c>
      <c r="C263" s="270" t="s">
        <v>228</v>
      </c>
      <c r="D263" s="242" t="s">
        <v>449</v>
      </c>
      <c r="E263" s="242">
        <v>1820</v>
      </c>
      <c r="F263" s="177"/>
      <c r="G263" s="177"/>
    </row>
    <row r="264" spans="1:7" ht="17.25" customHeight="1">
      <c r="A264" s="270">
        <v>906</v>
      </c>
      <c r="B264" s="178">
        <v>5</v>
      </c>
      <c r="C264" s="178" t="s">
        <v>231</v>
      </c>
      <c r="D264" s="242" t="s">
        <v>450</v>
      </c>
      <c r="E264" s="242">
        <v>537</v>
      </c>
      <c r="F264" s="177"/>
      <c r="G264" s="177"/>
    </row>
    <row r="265" spans="1:7" ht="17.25" customHeight="1">
      <c r="A265" s="45"/>
      <c r="B265" s="269">
        <f>SUM(B262:B264)</f>
        <v>31</v>
      </c>
      <c r="C265" s="269"/>
      <c r="D265" s="241"/>
      <c r="E265" s="241">
        <f>SUM(E262:E264)</f>
        <v>2476</v>
      </c>
      <c r="F265" s="177"/>
      <c r="G265" s="177"/>
    </row>
    <row r="266" spans="1:7" ht="17.25" customHeight="1">
      <c r="A266" s="285" t="s">
        <v>220</v>
      </c>
      <c r="B266" s="286"/>
      <c r="C266" s="287"/>
      <c r="D266" s="45"/>
      <c r="E266" s="44"/>
      <c r="F266" s="177"/>
      <c r="G266" s="177"/>
    </row>
    <row r="267" spans="1:7" ht="17.25" customHeight="1">
      <c r="A267" s="270">
        <v>907</v>
      </c>
      <c r="B267" s="178">
        <v>23</v>
      </c>
      <c r="C267" s="178" t="s">
        <v>228</v>
      </c>
      <c r="D267" s="152" t="s">
        <v>451</v>
      </c>
      <c r="E267" s="242">
        <v>1238</v>
      </c>
      <c r="F267" s="177"/>
      <c r="G267" s="177"/>
    </row>
    <row r="268" spans="1:7" ht="17.25" customHeight="1">
      <c r="A268" s="270">
        <v>908</v>
      </c>
      <c r="B268" s="270">
        <v>17</v>
      </c>
      <c r="C268" s="270" t="s">
        <v>231</v>
      </c>
      <c r="D268" s="152" t="s">
        <v>452</v>
      </c>
      <c r="E268" s="242">
        <v>1399</v>
      </c>
      <c r="F268" s="177"/>
      <c r="G268" s="177"/>
    </row>
    <row r="269" spans="1:7" ht="17.25" customHeight="1">
      <c r="A269" s="45"/>
      <c r="B269" s="241">
        <f>SUM(B267:B268)</f>
        <v>40</v>
      </c>
      <c r="C269" s="241"/>
      <c r="D269" s="241"/>
      <c r="E269" s="244">
        <f>SUM(E267:E268)</f>
        <v>2637</v>
      </c>
      <c r="F269" s="177"/>
      <c r="G269" s="177"/>
    </row>
    <row r="270" spans="1:7" ht="17.25" customHeight="1">
      <c r="A270" s="241" t="s">
        <v>14</v>
      </c>
      <c r="B270" s="171">
        <f>B265+B269</f>
        <v>71</v>
      </c>
      <c r="C270" s="171"/>
      <c r="D270" s="171"/>
      <c r="E270" s="171">
        <f>E265+E269</f>
        <v>5113</v>
      </c>
      <c r="F270" s="177"/>
      <c r="G270" s="177"/>
    </row>
    <row r="271" spans="1:7" ht="17.25" customHeight="1">
      <c r="A271" s="228"/>
      <c r="B271" s="172"/>
      <c r="C271" s="173"/>
      <c r="D271" s="171"/>
      <c r="E271" s="171"/>
      <c r="F271" s="177"/>
      <c r="G271" s="177"/>
    </row>
    <row r="272" spans="1:8" s="2" customFormat="1" ht="21" customHeight="1">
      <c r="A272" s="319" t="s">
        <v>22</v>
      </c>
      <c r="B272" s="320"/>
      <c r="C272" s="321"/>
      <c r="D272" s="9"/>
      <c r="E272" s="11"/>
      <c r="H272" s="131"/>
    </row>
    <row r="273" spans="1:8" s="2" customFormat="1" ht="18" customHeight="1">
      <c r="A273" s="44"/>
      <c r="B273" s="175"/>
      <c r="C273" s="176"/>
      <c r="D273" s="48"/>
      <c r="E273" s="49">
        <f>SUM(E275:E278)</f>
        <v>3.54</v>
      </c>
      <c r="F273" s="198"/>
      <c r="H273" s="255"/>
    </row>
    <row r="274" spans="1:18" ht="17.25" customHeight="1">
      <c r="A274" s="45" t="s">
        <v>5</v>
      </c>
      <c r="B274" s="283" t="s">
        <v>17</v>
      </c>
      <c r="C274" s="290"/>
      <c r="D274" s="174" t="s">
        <v>18</v>
      </c>
      <c r="E274" s="45" t="s">
        <v>7</v>
      </c>
      <c r="G274" s="121" t="str">
        <f>CONCATENATE("Cable Scrap, Lying at ",B275,". Quantity in MT - ")</f>
        <v>Cable Scrap, Lying at CS Ferozepur. Quantity in MT - </v>
      </c>
      <c r="H274" s="273" t="str">
        <f ca="1">CONCATENATE(G274,G275,(INDIRECT(I275)),(INDIRECT(J275)),(INDIRECT(K275)),(INDIRECT(L275)),(INDIRECT(M275)),(INDIRECT(N275)),(INDIRECT(O275)),(INDIRECT(P275)),(INDIRECT(Q275)),(INDIRECT(R275)))</f>
        <v>Cable Scrap, Lying at CS Ferozepur. Quantity in MT - 2/core PVC Alumn. Cable scrap - 0.591, 4/core PVC Alumn. Cable scrap - 0.301, 1/ core XLPE Alu cable scrap - 0.136, 3/ core XLPE Alu cable scrap - 2.512, </v>
      </c>
      <c r="I274" s="128" t="str">
        <f aca="true" ca="1" t="array" ref="I274">CELL("address",INDEX(G274:G298,MATCH(TRUE,ISBLANK(G274:G298),0)))</f>
        <v>$G$279</v>
      </c>
      <c r="J274" s="128">
        <f aca="true" t="array" ref="J274">MATCH(TRUE,ISBLANK(G274:G298),0)</f>
        <v>6</v>
      </c>
      <c r="K274" s="128">
        <f>J274-3</f>
        <v>3</v>
      </c>
      <c r="L274" s="128"/>
      <c r="M274" s="128"/>
      <c r="N274" s="128"/>
      <c r="O274" s="128"/>
      <c r="P274" s="128"/>
      <c r="Q274" s="128"/>
      <c r="R274" s="128"/>
    </row>
    <row r="275" spans="1:18" ht="15" customHeight="1">
      <c r="A275" s="275" t="s">
        <v>35</v>
      </c>
      <c r="B275" s="275" t="s">
        <v>100</v>
      </c>
      <c r="C275" s="275"/>
      <c r="D275" s="50" t="s">
        <v>91</v>
      </c>
      <c r="E275" s="51">
        <v>0.591</v>
      </c>
      <c r="G275" s="119" t="str">
        <f>CONCATENATE(D275," - ",E275,", ")</f>
        <v>2/core PVC Alumn. Cable scrap - 0.591, </v>
      </c>
      <c r="H275" s="273"/>
      <c r="I275" s="128" t="str">
        <f ca="1">IF(J274&gt;=3,(MID(I274,2,1)&amp;MID(I274,4,3)-K274),CELL("address",Z275))</f>
        <v>G276</v>
      </c>
      <c r="J275" s="128" t="str">
        <f ca="1">IF(J274&gt;=4,(MID(I275,1,1)&amp;MID(I275,2,3)+1),CELL("address",AA275))</f>
        <v>G277</v>
      </c>
      <c r="K275" s="128" t="str">
        <f ca="1">IF(J274&gt;=5,(MID(J275,1,1)&amp;MID(J275,2,3)+1),CELL("address",AB275))</f>
        <v>G278</v>
      </c>
      <c r="L275" s="128" t="str">
        <f ca="1">IF(J274&gt;=6,(MID(K275,1,1)&amp;MID(K275,2,3)+1),CELL("address",AC275))</f>
        <v>G279</v>
      </c>
      <c r="M275" s="128" t="str">
        <f ca="1">IF(J274&gt;=7,(MID(L275,1,1)&amp;MID(L275,2,3)+1),CELL("address",AD275))</f>
        <v>$AD$275</v>
      </c>
      <c r="N275" s="128" t="str">
        <f ca="1">IF(J274&gt;=8,(MID(M275,1,1)&amp;MID(M275,2,3)+1),CELL("address",AE275))</f>
        <v>$AE$275</v>
      </c>
      <c r="O275" s="128" t="str">
        <f ca="1">IF(J274&gt;=9,(MID(N275,1,1)&amp;MID(N275,2,3)+1),CELL("address",AF275))</f>
        <v>$AF$275</v>
      </c>
      <c r="P275" s="128" t="str">
        <f ca="1">IF(J274&gt;=10,(MID(O275,1,1)&amp;MID(O275,2,3)+1),CELL("address",AG275))</f>
        <v>$AG$275</v>
      </c>
      <c r="Q275" s="128" t="str">
        <f ca="1">IF(J274&gt;=11,(MID(P275,1,1)&amp;MID(P275,2,3)+1),CELL("address",AH275))</f>
        <v>$AH$275</v>
      </c>
      <c r="R275" s="128" t="str">
        <f ca="1">IF(J274&gt;=12,(MID(Q275,1,1)&amp;MID(Q275,2,3)+1),CELL("address",AI275))</f>
        <v>$AI$275</v>
      </c>
    </row>
    <row r="276" spans="1:8" ht="15" customHeight="1">
      <c r="A276" s="275"/>
      <c r="B276" s="275"/>
      <c r="C276" s="275"/>
      <c r="D276" s="50" t="s">
        <v>92</v>
      </c>
      <c r="E276" s="51">
        <v>0.301</v>
      </c>
      <c r="G276" s="119" t="str">
        <f>CONCATENATE(D276," - ",E276,", ")</f>
        <v>4/core PVC Alumn. Cable scrap - 0.301, </v>
      </c>
      <c r="H276" s="132"/>
    </row>
    <row r="277" spans="1:8" ht="15" customHeight="1">
      <c r="A277" s="275"/>
      <c r="B277" s="275"/>
      <c r="C277" s="275"/>
      <c r="D277" s="50" t="s">
        <v>98</v>
      </c>
      <c r="E277" s="50">
        <v>0.136</v>
      </c>
      <c r="G277" s="119" t="str">
        <f>CONCATENATE(D277," - ",E277,", ")</f>
        <v>1/ core XLPE Alu cable scrap - 0.136, </v>
      </c>
      <c r="H277" s="132"/>
    </row>
    <row r="278" spans="1:8" ht="15" customHeight="1">
      <c r="A278" s="275"/>
      <c r="B278" s="275"/>
      <c r="C278" s="275"/>
      <c r="D278" s="50" t="s">
        <v>93</v>
      </c>
      <c r="E278" s="52">
        <v>2.512</v>
      </c>
      <c r="G278" s="119" t="str">
        <f>CONCATENATE(D278," - ",E278,", ")</f>
        <v>3/ core XLPE Alu cable scrap - 2.512, </v>
      </c>
      <c r="H278" s="132"/>
    </row>
    <row r="279" spans="1:8" ht="15" customHeight="1">
      <c r="A279" s="44"/>
      <c r="B279" s="53"/>
      <c r="C279" s="201"/>
      <c r="D279" s="38"/>
      <c r="E279" s="54"/>
      <c r="G279" s="119"/>
      <c r="H279" s="132"/>
    </row>
    <row r="280" spans="1:8" ht="15" customHeight="1">
      <c r="A280" s="45"/>
      <c r="B280" s="277"/>
      <c r="C280" s="278"/>
      <c r="D280" s="203"/>
      <c r="E280" s="58">
        <f>SUM(E282:E285)</f>
        <v>2.889</v>
      </c>
      <c r="G280" s="119"/>
      <c r="H280" s="132"/>
    </row>
    <row r="281" spans="1:18" ht="15" customHeight="1">
      <c r="A281" s="45" t="s">
        <v>5</v>
      </c>
      <c r="B281" s="275" t="s">
        <v>17</v>
      </c>
      <c r="C281" s="275"/>
      <c r="D281" s="199" t="s">
        <v>18</v>
      </c>
      <c r="E281" s="45" t="s">
        <v>7</v>
      </c>
      <c r="G281" s="121" t="str">
        <f>CONCATENATE("Cable Scrap, Lying at ",B282,". Quantity in MT - ")</f>
        <v>Cable Scrap, Lying at OL Shri Muktsar Sahib. Quantity in MT - </v>
      </c>
      <c r="H281" s="273" t="str">
        <f ca="1">CONCATENATE(G281,G282,(INDIRECT(I282)),(INDIRECT(J282)),(INDIRECT(K282)),(INDIRECT(L282)),(INDIRECT(M282)),(INDIRECT(N282)),(INDIRECT(O282)),(INDIRECT(P282)),(INDIRECT(Q282)),(INDIRECT(R282)),".")</f>
        <v>Cable Scrap, Lying at OL Shri Muktsar Sahib. Quantity in MT - 4/core PVC Alumn. Cable scrap - 0.509, 3/ core XLPE Alu cable scrap - 1.75, 1/core PVC Alumn. Cable scrap - 0.141, 2/core PVC Alumn. Cable scrap - 0.489, .</v>
      </c>
      <c r="I281" s="128" t="str">
        <f aca="true" ca="1" t="array" ref="I281">CELL("address",INDEX(G281:G309,MATCH(TRUE,ISBLANK(G281:G309),0)))</f>
        <v>$G$286</v>
      </c>
      <c r="J281" s="128">
        <f aca="true" t="array" ref="J281">MATCH(TRUE,ISBLANK(G281:G309),0)</f>
        <v>6</v>
      </c>
      <c r="K281" s="128">
        <f>J281-3</f>
        <v>3</v>
      </c>
      <c r="L281" s="128"/>
      <c r="M281" s="128"/>
      <c r="N281" s="128"/>
      <c r="O281" s="128"/>
      <c r="P281" s="128"/>
      <c r="Q281" s="128"/>
      <c r="R281" s="128"/>
    </row>
    <row r="282" spans="1:18" ht="15" customHeight="1">
      <c r="A282" s="276" t="s">
        <v>94</v>
      </c>
      <c r="B282" s="304" t="s">
        <v>148</v>
      </c>
      <c r="C282" s="305"/>
      <c r="D282" s="50" t="s">
        <v>92</v>
      </c>
      <c r="E282" s="51">
        <v>0.509</v>
      </c>
      <c r="G282" s="119" t="str">
        <f>CONCATENATE(D282," - ",E282,", ")</f>
        <v>4/core PVC Alumn. Cable scrap - 0.509, </v>
      </c>
      <c r="H282" s="273"/>
      <c r="I282" s="128" t="str">
        <f ca="1">IF(J281&gt;=3,(MID(I281,2,1)&amp;MID(I281,4,3)-K281),CELL("address",Z282))</f>
        <v>G283</v>
      </c>
      <c r="J282" s="128" t="str">
        <f ca="1">IF(J281&gt;=4,(MID(I282,1,1)&amp;MID(I282,2,3)+1),CELL("address",AA282))</f>
        <v>G284</v>
      </c>
      <c r="K282" s="128" t="str">
        <f ca="1">IF(J281&gt;=5,(MID(J282,1,1)&amp;MID(J282,2,3)+1),CELL("address",AB282))</f>
        <v>G285</v>
      </c>
      <c r="L282" s="128" t="str">
        <f ca="1">IF(J281&gt;=6,(MID(K282,1,1)&amp;MID(K282,2,3)+1),CELL("address",AC282))</f>
        <v>G286</v>
      </c>
      <c r="M282" s="128" t="str">
        <f ca="1">IF(J281&gt;=7,(MID(L282,1,1)&amp;MID(L282,2,3)+1),CELL("address",AD282))</f>
        <v>$AD$282</v>
      </c>
      <c r="N282" s="128" t="str">
        <f ca="1">IF(J281&gt;=8,(MID(M282,1,1)&amp;MID(M282,2,3)+1),CELL("address",AE282))</f>
        <v>$AE$282</v>
      </c>
      <c r="O282" s="128" t="str">
        <f ca="1">IF(J281&gt;=9,(MID(N282,1,1)&amp;MID(N282,2,3)+1),CELL("address",AF282))</f>
        <v>$AF$282</v>
      </c>
      <c r="P282" s="128" t="str">
        <f ca="1">IF(J281&gt;=10,(MID(O282,1,1)&amp;MID(O282,2,3)+1),CELL("address",AG282))</f>
        <v>$AG$282</v>
      </c>
      <c r="Q282" s="128" t="str">
        <f ca="1">IF(J281&gt;=11,(MID(P282,1,1)&amp;MID(P282,2,3)+1),CELL("address",AH282))</f>
        <v>$AH$282</v>
      </c>
      <c r="R282" s="128" t="str">
        <f ca="1">IF(J281&gt;=12,(MID(Q282,1,1)&amp;MID(Q282,2,3)+1),CELL("address",AI282))</f>
        <v>$AI$282</v>
      </c>
    </row>
    <row r="283" spans="1:8" ht="15" customHeight="1">
      <c r="A283" s="361"/>
      <c r="B283" s="317"/>
      <c r="C283" s="318"/>
      <c r="D283" s="50" t="s">
        <v>93</v>
      </c>
      <c r="E283" s="51">
        <v>1.75</v>
      </c>
      <c r="G283" s="119" t="str">
        <f>CONCATENATE(D283," - ",E283,", ")</f>
        <v>3/ core XLPE Alu cable scrap - 1.75, </v>
      </c>
      <c r="H283" s="132"/>
    </row>
    <row r="284" spans="1:8" ht="15" customHeight="1">
      <c r="A284" s="361"/>
      <c r="B284" s="317"/>
      <c r="C284" s="318"/>
      <c r="D284" s="50" t="s">
        <v>173</v>
      </c>
      <c r="E284" s="92">
        <v>0.141</v>
      </c>
      <c r="G284" s="119" t="str">
        <f>CONCATENATE(D284," - ",E284,", ")</f>
        <v>1/core PVC Alumn. Cable scrap - 0.141, </v>
      </c>
      <c r="H284" s="132"/>
    </row>
    <row r="285" spans="1:8" ht="15" customHeight="1">
      <c r="A285" s="362"/>
      <c r="B285" s="331"/>
      <c r="C285" s="332"/>
      <c r="D285" s="50" t="s">
        <v>91</v>
      </c>
      <c r="E285" s="92">
        <v>0.489</v>
      </c>
      <c r="G285" s="119" t="str">
        <f>CONCATENATE(D285," - ",E285,", ")</f>
        <v>2/core PVC Alumn. Cable scrap - 0.489, </v>
      </c>
      <c r="H285" s="132"/>
    </row>
    <row r="286" spans="1:8" ht="15" customHeight="1">
      <c r="A286" s="45"/>
      <c r="B286" s="277"/>
      <c r="C286" s="278"/>
      <c r="D286" s="86"/>
      <c r="E286" s="92"/>
      <c r="G286" s="119"/>
      <c r="H286" s="132"/>
    </row>
    <row r="287" spans="1:8" ht="15" customHeight="1">
      <c r="A287" s="45"/>
      <c r="B287" s="277"/>
      <c r="C287" s="278"/>
      <c r="D287" s="207"/>
      <c r="E287" s="49">
        <f>SUM(E289:E292)</f>
        <v>2.236</v>
      </c>
      <c r="G287" s="119"/>
      <c r="H287" s="132"/>
    </row>
    <row r="288" spans="1:18" ht="15" customHeight="1">
      <c r="A288" s="45" t="s">
        <v>5</v>
      </c>
      <c r="B288" s="283" t="s">
        <v>17</v>
      </c>
      <c r="C288" s="290"/>
      <c r="D288" s="200" t="s">
        <v>18</v>
      </c>
      <c r="E288" s="45" t="s">
        <v>7</v>
      </c>
      <c r="G288" s="121" t="str">
        <f>CONCATENATE("Cable Scrap, Lying at ",B289,". Quantity in MT - ")</f>
        <v>Cable Scrap, Lying at OL Bhagta Bhai Ka. Quantity in MT - </v>
      </c>
      <c r="H288" s="273" t="str">
        <f ca="1">CONCATENATE(G288,G289,(INDIRECT(I289)),(INDIRECT(J289)),(INDIRECT(K289)),(INDIRECT(L289)),(INDIRECT(M289)),(INDIRECT(N289)),(INDIRECT(O289)),(INDIRECT(P289)),(INDIRECT(Q289)),(INDIRECT(R289)),".")</f>
        <v>Cable Scrap, Lying at OL Bhagta Bhai Ka. Quantity in MT - 4/core PVC Alumn. Cable scrap - 1.272, 2/core PVC Alumn. Cable scrap - 0.338, 3/ core XLPE Alu cable scrap - 0.224, ABC cable scrap (150 mm) - 0.402, .</v>
      </c>
      <c r="I288" s="128" t="str">
        <f aca="true" ca="1" t="array" ref="I288">CELL("address",INDEX(G288:G315,MATCH(TRUE,ISBLANK(G288:G315),0)))</f>
        <v>$G$293</v>
      </c>
      <c r="J288" s="128">
        <f aca="true" t="array" ref="J288">MATCH(TRUE,ISBLANK(G288:G315),0)</f>
        <v>6</v>
      </c>
      <c r="K288" s="128">
        <f>J288-3</f>
        <v>3</v>
      </c>
      <c r="L288" s="128"/>
      <c r="M288" s="128"/>
      <c r="N288" s="128"/>
      <c r="O288" s="128"/>
      <c r="P288" s="128"/>
      <c r="Q288" s="128"/>
      <c r="R288" s="128"/>
    </row>
    <row r="289" spans="1:18" ht="15" customHeight="1">
      <c r="A289" s="275" t="s">
        <v>95</v>
      </c>
      <c r="B289" s="275" t="s">
        <v>101</v>
      </c>
      <c r="C289" s="275"/>
      <c r="D289" s="50" t="s">
        <v>92</v>
      </c>
      <c r="E289" s="51">
        <v>1.272</v>
      </c>
      <c r="G289" s="119" t="str">
        <f>CONCATENATE(D289," - ",E289,", ")</f>
        <v>4/core PVC Alumn. Cable scrap - 1.272, </v>
      </c>
      <c r="H289" s="273"/>
      <c r="I289" s="128" t="str">
        <f ca="1">IF(J288&gt;=3,(MID(I288,2,1)&amp;MID(I288,4,3)-K288),CELL("address",Z289))</f>
        <v>G290</v>
      </c>
      <c r="J289" s="128" t="str">
        <f ca="1">IF(J288&gt;=4,(MID(I289,1,1)&amp;MID(I289,2,3)+1),CELL("address",AA289))</f>
        <v>G291</v>
      </c>
      <c r="K289" s="128" t="str">
        <f ca="1">IF(J288&gt;=5,(MID(J289,1,1)&amp;MID(J289,2,3)+1),CELL("address",AB289))</f>
        <v>G292</v>
      </c>
      <c r="L289" s="128" t="str">
        <f ca="1">IF(J288&gt;=6,(MID(K289,1,1)&amp;MID(K289,2,3)+1),CELL("address",AC289))</f>
        <v>G293</v>
      </c>
      <c r="M289" s="128" t="str">
        <f ca="1">IF(J288&gt;=7,(MID(L289,1,1)&amp;MID(L289,2,3)+1),CELL("address",AD289))</f>
        <v>$AD$289</v>
      </c>
      <c r="N289" s="128" t="str">
        <f ca="1">IF(J288&gt;=8,(MID(M289,1,1)&amp;MID(M289,2,3)+1),CELL("address",AE289))</f>
        <v>$AE$289</v>
      </c>
      <c r="O289" s="128" t="str">
        <f ca="1">IF(J288&gt;=9,(MID(N289,1,1)&amp;MID(N289,2,3)+1),CELL("address",AF289))</f>
        <v>$AF$289</v>
      </c>
      <c r="P289" s="128" t="str">
        <f ca="1">IF(J288&gt;=10,(MID(O289,1,1)&amp;MID(O289,2,3)+1),CELL("address",AG289))</f>
        <v>$AG$289</v>
      </c>
      <c r="Q289" s="128" t="str">
        <f ca="1">IF(J288&gt;=11,(MID(P289,1,1)&amp;MID(P289,2,3)+1),CELL("address",AH289))</f>
        <v>$AH$289</v>
      </c>
      <c r="R289" s="128" t="str">
        <f ca="1">IF(J288&gt;=12,(MID(Q289,1,1)&amp;MID(Q289,2,3)+1),CELL("address",AI289))</f>
        <v>$AI$289</v>
      </c>
    </row>
    <row r="290" spans="1:8" ht="15" customHeight="1">
      <c r="A290" s="275"/>
      <c r="B290" s="275"/>
      <c r="C290" s="275"/>
      <c r="D290" s="50" t="s">
        <v>91</v>
      </c>
      <c r="E290" s="92">
        <v>0.338</v>
      </c>
      <c r="G290" s="119" t="str">
        <f>CONCATENATE(D290," - ",E290,", ")</f>
        <v>2/core PVC Alumn. Cable scrap - 0.338, </v>
      </c>
      <c r="H290" s="132"/>
    </row>
    <row r="291" spans="1:8" ht="15" customHeight="1">
      <c r="A291" s="275"/>
      <c r="B291" s="275"/>
      <c r="C291" s="275"/>
      <c r="D291" s="50" t="s">
        <v>93</v>
      </c>
      <c r="E291" s="92">
        <v>0.224</v>
      </c>
      <c r="G291" s="119" t="str">
        <f>CONCATENATE(D291," - ",E291,", ")</f>
        <v>3/ core XLPE Alu cable scrap - 0.224, </v>
      </c>
      <c r="H291" s="132"/>
    </row>
    <row r="292" spans="1:8" ht="15" customHeight="1">
      <c r="A292" s="275"/>
      <c r="B292" s="275"/>
      <c r="C292" s="275"/>
      <c r="D292" s="50" t="s">
        <v>251</v>
      </c>
      <c r="E292" s="92">
        <v>0.402</v>
      </c>
      <c r="G292" s="119" t="str">
        <f>CONCATENATE(D292," - ",E292,", ")</f>
        <v>ABC cable scrap (150 mm) - 0.402, </v>
      </c>
      <c r="H292" s="132"/>
    </row>
    <row r="293" spans="1:8" ht="15" customHeight="1">
      <c r="A293" s="44"/>
      <c r="B293" s="46"/>
      <c r="C293" s="47"/>
      <c r="D293" s="86"/>
      <c r="E293" s="92"/>
      <c r="G293" s="119"/>
      <c r="H293" s="132"/>
    </row>
    <row r="294" spans="1:8" ht="15" customHeight="1">
      <c r="A294" s="45"/>
      <c r="B294" s="277"/>
      <c r="C294" s="278"/>
      <c r="D294" s="203"/>
      <c r="E294" s="58">
        <f>SUM(E296:E300)</f>
        <v>11.93</v>
      </c>
      <c r="G294" s="121"/>
      <c r="H294" s="132"/>
    </row>
    <row r="295" spans="1:18" ht="15" customHeight="1">
      <c r="A295" s="45" t="s">
        <v>5</v>
      </c>
      <c r="B295" s="275" t="s">
        <v>17</v>
      </c>
      <c r="C295" s="275"/>
      <c r="D295" s="199" t="s">
        <v>18</v>
      </c>
      <c r="E295" s="45" t="s">
        <v>7</v>
      </c>
      <c r="G295" s="121" t="str">
        <f>CONCATENATE("Cable Scrap, Lying at ",B296,". Quantity in MT - ")</f>
        <v>Cable Scrap, Lying at CS Bathinda. Quantity in MT - </v>
      </c>
      <c r="H295" s="273" t="str">
        <f ca="1">CONCATENATE(G295,G296,(INDIRECT(I296)),(INDIRECT(J296)),(INDIRECT(K296)),(INDIRECT(L296)),(INDIRECT(M296)),(INDIRECT(N296)),(INDIRECT(O296)),(INDIRECT(P296)),(INDIRECT(Q296)),(INDIRECT(R296)),".")</f>
        <v>Cable Scrap, Lying at CS Bathinda. Quantity in MT - 2/core PVC Alumn. Cable scrap - 0.3, 4/core PVC Alumn. Cable scrap - 1.722, 1/ core XLPE Alu cable scrap - 0.143, 3/ core XLPE Alu cable scrap - 4.831, ABC cable scrap (70/95 mm) - 4.934, .</v>
      </c>
      <c r="I295" s="128" t="str">
        <f aca="true" ca="1" t="array" ref="I295">CELL("address",INDEX(G295:G320,MATCH(TRUE,ISBLANK(G295:G320),0)))</f>
        <v>$G$301</v>
      </c>
      <c r="J295" s="128">
        <f aca="true" t="array" ref="J295">MATCH(TRUE,ISBLANK(G295:G320),0)</f>
        <v>7</v>
      </c>
      <c r="K295" s="128">
        <f>J295-3</f>
        <v>4</v>
      </c>
      <c r="L295" s="128"/>
      <c r="M295" s="128"/>
      <c r="N295" s="128"/>
      <c r="O295" s="128"/>
      <c r="P295" s="128"/>
      <c r="Q295" s="128"/>
      <c r="R295" s="128"/>
    </row>
    <row r="296" spans="1:18" ht="15" customHeight="1">
      <c r="A296" s="275" t="s">
        <v>97</v>
      </c>
      <c r="B296" s="275" t="s">
        <v>64</v>
      </c>
      <c r="C296" s="275"/>
      <c r="D296" s="50" t="s">
        <v>91</v>
      </c>
      <c r="E296" s="51">
        <v>0.3</v>
      </c>
      <c r="G296" s="119" t="str">
        <f>CONCATENATE(D296," - ",E296,", ")</f>
        <v>2/core PVC Alumn. Cable scrap - 0.3, </v>
      </c>
      <c r="H296" s="273"/>
      <c r="I296" s="128" t="str">
        <f ca="1">IF(J295&gt;=3,(MID(I295,2,1)&amp;MID(I295,4,3)-K295),CELL("address",Z296))</f>
        <v>G297</v>
      </c>
      <c r="J296" s="128" t="str">
        <f ca="1">IF(J295&gt;=4,(MID(I296,1,1)&amp;MID(I296,2,3)+1),CELL("address",AA296))</f>
        <v>G298</v>
      </c>
      <c r="K296" s="128" t="str">
        <f ca="1">IF(J295&gt;=5,(MID(J296,1,1)&amp;MID(J296,2,3)+1),CELL("address",AB296))</f>
        <v>G299</v>
      </c>
      <c r="L296" s="128" t="str">
        <f ca="1">IF(J295&gt;=6,(MID(K296,1,1)&amp;MID(K296,2,3)+1),CELL("address",AC296))</f>
        <v>G300</v>
      </c>
      <c r="M296" s="128" t="str">
        <f ca="1">IF(J295&gt;=7,(MID(L296,1,1)&amp;MID(L296,2,3)+1),CELL("address",AD296))</f>
        <v>G301</v>
      </c>
      <c r="N296" s="128" t="str">
        <f ca="1">IF(J295&gt;=8,(MID(M296,1,1)&amp;MID(M296,2,3)+1),CELL("address",AE296))</f>
        <v>$AE$296</v>
      </c>
      <c r="O296" s="128" t="str">
        <f ca="1">IF(J295&gt;=9,(MID(N296,1,1)&amp;MID(N296,2,3)+1),CELL("address",AF296))</f>
        <v>$AF$296</v>
      </c>
      <c r="P296" s="128" t="str">
        <f ca="1">IF(J295&gt;=10,(MID(O296,1,1)&amp;MID(O296,2,3)+1),CELL("address",AG296))</f>
        <v>$AG$296</v>
      </c>
      <c r="Q296" s="128" t="str">
        <f ca="1">IF(J295&gt;=11,(MID(P296,1,1)&amp;MID(P296,2,3)+1),CELL("address",AH296))</f>
        <v>$AH$296</v>
      </c>
      <c r="R296" s="128" t="str">
        <f ca="1">IF(J295&gt;=12,(MID(Q296,1,1)&amp;MID(Q296,2,3)+1),CELL("address",AI296))</f>
        <v>$AI$296</v>
      </c>
    </row>
    <row r="297" spans="1:8" ht="15" customHeight="1">
      <c r="A297" s="275"/>
      <c r="B297" s="275"/>
      <c r="C297" s="275"/>
      <c r="D297" s="50" t="s">
        <v>92</v>
      </c>
      <c r="E297" s="51">
        <v>1.722</v>
      </c>
      <c r="G297" s="119" t="str">
        <f>CONCATENATE(D297," - ",E297,", ")</f>
        <v>4/core PVC Alumn. Cable scrap - 1.722, </v>
      </c>
      <c r="H297" s="132"/>
    </row>
    <row r="298" spans="1:8" ht="15" customHeight="1">
      <c r="A298" s="275"/>
      <c r="B298" s="275"/>
      <c r="C298" s="275"/>
      <c r="D298" s="50" t="s">
        <v>98</v>
      </c>
      <c r="E298" s="52">
        <v>0.143</v>
      </c>
      <c r="G298" s="119" t="str">
        <f>CONCATENATE(D298," - ",E298,", ")</f>
        <v>1/ core XLPE Alu cable scrap - 0.143, </v>
      </c>
      <c r="H298" s="132"/>
    </row>
    <row r="299" spans="1:8" ht="15" customHeight="1">
      <c r="A299" s="275"/>
      <c r="B299" s="275"/>
      <c r="C299" s="275"/>
      <c r="D299" s="50" t="s">
        <v>93</v>
      </c>
      <c r="E299" s="87">
        <v>4.831</v>
      </c>
      <c r="G299" s="119" t="str">
        <f>CONCATENATE(D299," - ",E299,", ")</f>
        <v>3/ core XLPE Alu cable scrap - 4.831, </v>
      </c>
      <c r="H299" s="132"/>
    </row>
    <row r="300" spans="1:8" ht="15" customHeight="1">
      <c r="A300" s="275"/>
      <c r="B300" s="275"/>
      <c r="C300" s="275"/>
      <c r="D300" s="50" t="s">
        <v>170</v>
      </c>
      <c r="E300" s="87">
        <v>4.934</v>
      </c>
      <c r="G300" s="119" t="str">
        <f>CONCATENATE(D300," - ",E300,", ")</f>
        <v>ABC cable scrap (70/95 mm) - 4.934, </v>
      </c>
      <c r="H300" s="132"/>
    </row>
    <row r="301" spans="1:8" ht="15" customHeight="1">
      <c r="A301" s="44"/>
      <c r="B301" s="46"/>
      <c r="C301" s="47"/>
      <c r="D301" s="93"/>
      <c r="E301" s="94"/>
      <c r="G301" s="119"/>
      <c r="H301" s="132"/>
    </row>
    <row r="302" spans="1:8" ht="15" customHeight="1">
      <c r="A302" s="44"/>
      <c r="B302" s="213"/>
      <c r="C302" s="214"/>
      <c r="D302" s="207"/>
      <c r="E302" s="49">
        <f>SUM(E304:E307)</f>
        <v>3.4909999999999997</v>
      </c>
      <c r="G302" s="119"/>
      <c r="H302" s="132"/>
    </row>
    <row r="303" spans="1:18" ht="15" customHeight="1">
      <c r="A303" s="45" t="s">
        <v>5</v>
      </c>
      <c r="B303" s="283" t="s">
        <v>17</v>
      </c>
      <c r="C303" s="290"/>
      <c r="D303" s="200" t="s">
        <v>18</v>
      </c>
      <c r="E303" s="45" t="s">
        <v>7</v>
      </c>
      <c r="G303" s="121" t="str">
        <f>CONCATENATE("Cable Scrap, Lying at ",B304,". Quantity in MT - ")</f>
        <v>Cable Scrap, Lying at OL Mansa. Quantity in MT - </v>
      </c>
      <c r="H303" s="273" t="str">
        <f ca="1">CONCATENATE(G303,G304,(INDIRECT(I304)),(INDIRECT(J304)),(INDIRECT(K304)),(INDIRECT(L304)),(INDIRECT(M304)),(INDIRECT(N304)),(INDIRECT(O304)),(INDIRECT(P304)),(INDIRECT(Q304)),(INDIRECT(R304)),".")</f>
        <v>Cable Scrap, Lying at OL Mansa. Quantity in MT - 2/core PVC Alumn. Cable scrap - 0.487, 4/core PVC Alumn. Cable scrap - 1.528, 3/ core XLPE Alu cable scrap - 1.386, ABC cable scrap (70/95 mm) - 0.09, .</v>
      </c>
      <c r="I303" s="128" t="str">
        <f aca="true" ca="1" t="array" ref="I303">CELL("address",INDEX(G303:G327,MATCH(TRUE,ISBLANK(G303:G327),0)))</f>
        <v>$G$308</v>
      </c>
      <c r="J303" s="128">
        <f aca="true" t="array" ref="J303">MATCH(TRUE,ISBLANK(G303:G327),0)</f>
        <v>6</v>
      </c>
      <c r="K303" s="128">
        <f>J303-3</f>
        <v>3</v>
      </c>
      <c r="L303" s="128"/>
      <c r="M303" s="128"/>
      <c r="N303" s="128"/>
      <c r="O303" s="128"/>
      <c r="P303" s="128"/>
      <c r="Q303" s="128"/>
      <c r="R303" s="128"/>
    </row>
    <row r="304" spans="1:18" ht="15" customHeight="1">
      <c r="A304" s="275" t="s">
        <v>191</v>
      </c>
      <c r="B304" s="275" t="s">
        <v>60</v>
      </c>
      <c r="C304" s="275"/>
      <c r="D304" s="50" t="s">
        <v>91</v>
      </c>
      <c r="E304" s="51">
        <v>0.487</v>
      </c>
      <c r="G304" s="119" t="str">
        <f>CONCATENATE(D304," - ",E304,", ")</f>
        <v>2/core PVC Alumn. Cable scrap - 0.487, </v>
      </c>
      <c r="H304" s="273"/>
      <c r="I304" s="128" t="str">
        <f ca="1">IF(J303&gt;=3,(MID(I303,2,1)&amp;MID(I303,4,3)-K303),CELL("address",Z304))</f>
        <v>G305</v>
      </c>
      <c r="J304" s="128" t="str">
        <f ca="1">IF(J303&gt;=4,(MID(I304,1,1)&amp;MID(I304,2,3)+1),CELL("address",AA304))</f>
        <v>G306</v>
      </c>
      <c r="K304" s="128" t="str">
        <f ca="1">IF(J303&gt;=5,(MID(J304,1,1)&amp;MID(J304,2,3)+1),CELL("address",AB304))</f>
        <v>G307</v>
      </c>
      <c r="L304" s="128" t="str">
        <f ca="1">IF(J303&gt;=6,(MID(K304,1,1)&amp;MID(K304,2,3)+1),CELL("address",AC304))</f>
        <v>G308</v>
      </c>
      <c r="M304" s="128" t="str">
        <f ca="1">IF(J303&gt;=7,(MID(L304,1,1)&amp;MID(L304,2,3)+1),CELL("address",AD304))</f>
        <v>$AD$304</v>
      </c>
      <c r="N304" s="128" t="str">
        <f ca="1">IF(J303&gt;=8,(MID(M304,1,1)&amp;MID(M304,2,3)+1),CELL("address",AE304))</f>
        <v>$AE$304</v>
      </c>
      <c r="O304" s="128" t="str">
        <f ca="1">IF(J303&gt;=9,(MID(N304,1,1)&amp;MID(N304,2,3)+1),CELL("address",AF304))</f>
        <v>$AF$304</v>
      </c>
      <c r="P304" s="128" t="str">
        <f ca="1">IF(J303&gt;=10,(MID(O304,1,1)&amp;MID(O304,2,3)+1),CELL("address",AG304))</f>
        <v>$AG$304</v>
      </c>
      <c r="Q304" s="128" t="str">
        <f ca="1">IF(J303&gt;=11,(MID(P304,1,1)&amp;MID(P304,2,3)+1),CELL("address",AH304))</f>
        <v>$AH$304</v>
      </c>
      <c r="R304" s="128" t="str">
        <f ca="1">IF(J303&gt;=12,(MID(Q304,1,1)&amp;MID(Q304,2,3)+1),CELL("address",AI304))</f>
        <v>$AI$304</v>
      </c>
    </row>
    <row r="305" spans="1:8" ht="15" customHeight="1">
      <c r="A305" s="275"/>
      <c r="B305" s="275"/>
      <c r="C305" s="275"/>
      <c r="D305" s="50" t="s">
        <v>92</v>
      </c>
      <c r="E305" s="51">
        <v>1.528</v>
      </c>
      <c r="G305" s="119" t="str">
        <f>CONCATENATE(D305," - ",E305,", ")</f>
        <v>4/core PVC Alumn. Cable scrap - 1.528, </v>
      </c>
      <c r="H305" s="132"/>
    </row>
    <row r="306" spans="1:8" ht="15" customHeight="1">
      <c r="A306" s="275"/>
      <c r="B306" s="275"/>
      <c r="C306" s="275"/>
      <c r="D306" s="50" t="s">
        <v>93</v>
      </c>
      <c r="E306" s="51">
        <v>1.386</v>
      </c>
      <c r="G306" s="119" t="str">
        <f>CONCATENATE(D306," - ",E306,", ")</f>
        <v>3/ core XLPE Alu cable scrap - 1.386, </v>
      </c>
      <c r="H306" s="132"/>
    </row>
    <row r="307" spans="1:8" ht="15" customHeight="1">
      <c r="A307" s="275"/>
      <c r="B307" s="275"/>
      <c r="C307" s="275"/>
      <c r="D307" s="50" t="s">
        <v>170</v>
      </c>
      <c r="E307" s="92">
        <v>0.09</v>
      </c>
      <c r="G307" s="119" t="str">
        <f>CONCATENATE(D307," - ",E307,", ")</f>
        <v>ABC cable scrap (70/95 mm) - 0.09, </v>
      </c>
      <c r="H307" s="132"/>
    </row>
    <row r="308" spans="1:8" ht="15" customHeight="1">
      <c r="A308" s="44"/>
      <c r="B308" s="46"/>
      <c r="C308" s="47"/>
      <c r="D308" s="93"/>
      <c r="E308" s="94"/>
      <c r="G308" s="119"/>
      <c r="H308" s="132"/>
    </row>
    <row r="309" spans="1:8" ht="15" customHeight="1">
      <c r="A309" s="44"/>
      <c r="B309" s="213"/>
      <c r="C309" s="214"/>
      <c r="D309" s="207"/>
      <c r="E309" s="49">
        <f>SUM(E311:E314)</f>
        <v>5.21</v>
      </c>
      <c r="G309" s="119"/>
      <c r="H309" s="132"/>
    </row>
    <row r="310" spans="1:18" ht="15" customHeight="1">
      <c r="A310" s="45" t="s">
        <v>5</v>
      </c>
      <c r="B310" s="283" t="s">
        <v>17</v>
      </c>
      <c r="C310" s="290"/>
      <c r="D310" s="200" t="s">
        <v>18</v>
      </c>
      <c r="E310" s="45" t="s">
        <v>7</v>
      </c>
      <c r="G310" s="121" t="str">
        <f>CONCATENATE("Cable Scrap, Lying at ",B311,". Quantity in MT - ")</f>
        <v>Cable Scrap, Lying at CS Kotkapura. Quantity in MT - </v>
      </c>
      <c r="H310" s="273" t="str">
        <f ca="1">CONCATENATE(G310,G311,(INDIRECT(I311)),(INDIRECT(J311)),(INDIRECT(K311)),(INDIRECT(L311)),(INDIRECT(M311)),(INDIRECT(N311)),(INDIRECT(O311)),(INDIRECT(P311)),(INDIRECT(Q311)),(INDIRECT(R311)),".")</f>
        <v>Cable Scrap, Lying at CS Kotkapura. Quantity in MT - 2/core PVC Alumn. Cable scrap - 1.264, 4/core PVC Alumn. Cable scrap - 1.906, 3/ core XLPE Alu cable scrap - 1.979, 1/ core XLPE Alu cable scrap - 0.061, .</v>
      </c>
      <c r="I310" s="128" t="str">
        <f aca="true" ca="1" t="array" ref="I310">CELL("address",INDEX(G310:G335,MATCH(TRUE,ISBLANK(G310:G335),0)))</f>
        <v>$G$315</v>
      </c>
      <c r="J310" s="128">
        <f aca="true" t="array" ref="J310">MATCH(TRUE,ISBLANK(G310:G335),0)</f>
        <v>6</v>
      </c>
      <c r="K310" s="128">
        <f>J310-3</f>
        <v>3</v>
      </c>
      <c r="L310" s="128"/>
      <c r="M310" s="128"/>
      <c r="N310" s="128"/>
      <c r="O310" s="128"/>
      <c r="P310" s="128"/>
      <c r="Q310" s="128"/>
      <c r="R310" s="128"/>
    </row>
    <row r="311" spans="1:18" ht="15" customHeight="1">
      <c r="A311" s="275" t="s">
        <v>193</v>
      </c>
      <c r="B311" s="275" t="s">
        <v>43</v>
      </c>
      <c r="C311" s="275"/>
      <c r="D311" s="50" t="s">
        <v>91</v>
      </c>
      <c r="E311" s="51">
        <v>1.264</v>
      </c>
      <c r="F311" s="1">
        <v>0.832</v>
      </c>
      <c r="G311" s="119" t="str">
        <f>CONCATENATE(D311," - ",E311,", ")</f>
        <v>2/core PVC Alumn. Cable scrap - 1.264, </v>
      </c>
      <c r="H311" s="273"/>
      <c r="I311" s="128" t="str">
        <f ca="1">IF(J310&gt;=3,(MID(I310,2,1)&amp;MID(I310,4,3)-K310),CELL("address",Z311))</f>
        <v>G312</v>
      </c>
      <c r="J311" s="128" t="str">
        <f ca="1">IF(J310&gt;=4,(MID(I311,1,1)&amp;MID(I311,2,3)+1),CELL("address",AA311))</f>
        <v>G313</v>
      </c>
      <c r="K311" s="128" t="str">
        <f ca="1">IF(J310&gt;=5,(MID(J311,1,1)&amp;MID(J311,2,3)+1),CELL("address",AB311))</f>
        <v>G314</v>
      </c>
      <c r="L311" s="128" t="str">
        <f ca="1">IF(J310&gt;=6,(MID(K311,1,1)&amp;MID(K311,2,3)+1),CELL("address",AC311))</f>
        <v>G315</v>
      </c>
      <c r="M311" s="128" t="str">
        <f ca="1">IF(J310&gt;=7,(MID(L311,1,1)&amp;MID(L311,2,3)+1),CELL("address",AD311))</f>
        <v>$AD$311</v>
      </c>
      <c r="N311" s="128" t="str">
        <f ca="1">IF(J310&gt;=8,(MID(M311,1,1)&amp;MID(M311,2,3)+1),CELL("address",AE311))</f>
        <v>$AE$311</v>
      </c>
      <c r="O311" s="128" t="str">
        <f ca="1">IF(J310&gt;=9,(MID(N311,1,1)&amp;MID(N311,2,3)+1),CELL("address",AF311))</f>
        <v>$AF$311</v>
      </c>
      <c r="P311" s="128" t="str">
        <f ca="1">IF(J310&gt;=10,(MID(O311,1,1)&amp;MID(O311,2,3)+1),CELL("address",AG311))</f>
        <v>$AG$311</v>
      </c>
      <c r="Q311" s="128" t="str">
        <f ca="1">IF(J310&gt;=11,(MID(P311,1,1)&amp;MID(P311,2,3)+1),CELL("address",AH311))</f>
        <v>$AH$311</v>
      </c>
      <c r="R311" s="128" t="str">
        <f ca="1">IF(J310&gt;=12,(MID(Q311,1,1)&amp;MID(Q311,2,3)+1),CELL("address",AI311))</f>
        <v>$AI$311</v>
      </c>
    </row>
    <row r="312" spans="1:8" ht="15" customHeight="1">
      <c r="A312" s="275"/>
      <c r="B312" s="275"/>
      <c r="C312" s="275"/>
      <c r="D312" s="50" t="s">
        <v>92</v>
      </c>
      <c r="E312" s="51">
        <v>1.906</v>
      </c>
      <c r="F312" s="1">
        <v>1.556</v>
      </c>
      <c r="G312" s="119" t="str">
        <f>CONCATENATE(D312," - ",E312,", ")</f>
        <v>4/core PVC Alumn. Cable scrap - 1.906, </v>
      </c>
      <c r="H312" s="132"/>
    </row>
    <row r="313" spans="1:8" ht="15" customHeight="1">
      <c r="A313" s="275"/>
      <c r="B313" s="275"/>
      <c r="C313" s="275"/>
      <c r="D313" s="50" t="s">
        <v>93</v>
      </c>
      <c r="E313" s="52">
        <v>1.979</v>
      </c>
      <c r="F313" s="1">
        <v>1.894</v>
      </c>
      <c r="G313" s="119" t="str">
        <f>CONCATENATE(D313," - ",E313,", ")</f>
        <v>3/ core XLPE Alu cable scrap - 1.979, </v>
      </c>
      <c r="H313" s="132"/>
    </row>
    <row r="314" spans="1:8" ht="15" customHeight="1">
      <c r="A314" s="275"/>
      <c r="B314" s="275"/>
      <c r="C314" s="275"/>
      <c r="D314" s="50" t="s">
        <v>98</v>
      </c>
      <c r="E314" s="52">
        <v>0.061</v>
      </c>
      <c r="F314" s="1" t="s">
        <v>327</v>
      </c>
      <c r="G314" s="119" t="str">
        <f>CONCATENATE(D314," - ",E314,", ")</f>
        <v>1/ core XLPE Alu cable scrap - 0.061, </v>
      </c>
      <c r="H314" s="132"/>
    </row>
    <row r="315" spans="1:8" ht="15" customHeight="1">
      <c r="A315" s="44"/>
      <c r="B315" s="46"/>
      <c r="C315" s="47"/>
      <c r="D315" s="38"/>
      <c r="E315" s="54"/>
      <c r="G315" s="119"/>
      <c r="H315" s="132"/>
    </row>
    <row r="316" spans="1:8" ht="15" customHeight="1">
      <c r="A316" s="44"/>
      <c r="B316" s="213"/>
      <c r="C316" s="214"/>
      <c r="D316" s="207"/>
      <c r="E316" s="49">
        <f>SUM(E318:E321)</f>
        <v>3.3850000000000002</v>
      </c>
      <c r="G316" s="119"/>
      <c r="H316" s="132"/>
    </row>
    <row r="317" spans="1:18" ht="15" customHeight="1">
      <c r="A317" s="45" t="s">
        <v>5</v>
      </c>
      <c r="B317" s="283" t="s">
        <v>17</v>
      </c>
      <c r="C317" s="290"/>
      <c r="D317" s="200" t="s">
        <v>18</v>
      </c>
      <c r="E317" s="45" t="s">
        <v>7</v>
      </c>
      <c r="G317" s="121" t="str">
        <f>CONCATENATE("Cable Scrap, Lying at ",B318,". Quantity in MT - ")</f>
        <v>Cable Scrap, Lying at OL Patran. Quantity in MT - </v>
      </c>
      <c r="H317" s="273" t="str">
        <f ca="1">CONCATENATE(G317,G318,(INDIRECT(I318)),(INDIRECT(J318)),(INDIRECT(K318)),(INDIRECT(L318)),(INDIRECT(M318)),(INDIRECT(N318)),(INDIRECT(O318)),(INDIRECT(P318)),(INDIRECT(Q318)),(INDIRECT(R318)),".")</f>
        <v>Cable Scrap, Lying at OL Patran. Quantity in MT - 2/core PVC Alumn. Cable scrap - 0.515, 4/core PVC Alumn. Cable scrap - 0.912, 3/ core XLPE Alu cable scrap - 1.693, ABC cable scrap (150 mm) - 0.265, .</v>
      </c>
      <c r="I317" s="128" t="str">
        <f aca="true" ca="1" t="array" ref="I317">CELL("address",INDEX(G317:G341,MATCH(TRUE,ISBLANK(G317:G341),0)))</f>
        <v>$G$322</v>
      </c>
      <c r="J317" s="128">
        <f aca="true" t="array" ref="J317">MATCH(TRUE,ISBLANK(G317:G341),0)</f>
        <v>6</v>
      </c>
      <c r="K317" s="128">
        <f>J317-3</f>
        <v>3</v>
      </c>
      <c r="L317" s="128"/>
      <c r="M317" s="128"/>
      <c r="N317" s="128"/>
      <c r="O317" s="128"/>
      <c r="P317" s="128"/>
      <c r="Q317" s="128"/>
      <c r="R317" s="128"/>
    </row>
    <row r="318" spans="1:18" ht="15" customHeight="1">
      <c r="A318" s="275" t="s">
        <v>169</v>
      </c>
      <c r="B318" s="275" t="s">
        <v>103</v>
      </c>
      <c r="C318" s="275"/>
      <c r="D318" s="50" t="s">
        <v>91</v>
      </c>
      <c r="E318" s="51">
        <v>0.515</v>
      </c>
      <c r="G318" s="119" t="str">
        <f>CONCATENATE(D318," - ",E318,", ")</f>
        <v>2/core PVC Alumn. Cable scrap - 0.515, </v>
      </c>
      <c r="H318" s="273"/>
      <c r="I318" s="128" t="str">
        <f ca="1">IF(J317&gt;=3,(MID(I317,2,1)&amp;MID(I317,4,3)-K317),CELL("address",Z318))</f>
        <v>G319</v>
      </c>
      <c r="J318" s="128" t="str">
        <f ca="1">IF(J317&gt;=4,(MID(I318,1,1)&amp;MID(I318,2,3)+1),CELL("address",AA318))</f>
        <v>G320</v>
      </c>
      <c r="K318" s="128" t="str">
        <f ca="1">IF(J317&gt;=5,(MID(J318,1,1)&amp;MID(J318,2,3)+1),CELL("address",AB318))</f>
        <v>G321</v>
      </c>
      <c r="L318" s="128" t="str">
        <f ca="1">IF(J317&gt;=6,(MID(K318,1,1)&amp;MID(K318,2,3)+1),CELL("address",AC318))</f>
        <v>G322</v>
      </c>
      <c r="M318" s="128" t="str">
        <f ca="1">IF(J317&gt;=7,(MID(L318,1,1)&amp;MID(L318,2,3)+1),CELL("address",AD318))</f>
        <v>$AD$318</v>
      </c>
      <c r="N318" s="128" t="str">
        <f ca="1">IF(J317&gt;=8,(MID(M318,1,1)&amp;MID(M318,2,3)+1),CELL("address",AE318))</f>
        <v>$AE$318</v>
      </c>
      <c r="O318" s="128" t="str">
        <f ca="1">IF(J317&gt;=9,(MID(N318,1,1)&amp;MID(N318,2,3)+1),CELL("address",AF318))</f>
        <v>$AF$318</v>
      </c>
      <c r="P318" s="128" t="str">
        <f ca="1">IF(J317&gt;=10,(MID(O318,1,1)&amp;MID(O318,2,3)+1),CELL("address",AG318))</f>
        <v>$AG$318</v>
      </c>
      <c r="Q318" s="128" t="str">
        <f ca="1">IF(J317&gt;=11,(MID(P318,1,1)&amp;MID(P318,2,3)+1),CELL("address",AH318))</f>
        <v>$AH$318</v>
      </c>
      <c r="R318" s="128" t="str">
        <f ca="1">IF(J317&gt;=12,(MID(Q318,1,1)&amp;MID(Q318,2,3)+1),CELL("address",AI318))</f>
        <v>$AI$318</v>
      </c>
    </row>
    <row r="319" spans="1:8" ht="15" customHeight="1">
      <c r="A319" s="275"/>
      <c r="B319" s="275"/>
      <c r="C319" s="275"/>
      <c r="D319" s="50" t="s">
        <v>92</v>
      </c>
      <c r="E319" s="51">
        <v>0.912</v>
      </c>
      <c r="G319" s="119" t="str">
        <f>CONCATENATE(D319," - ",E319,", ")</f>
        <v>4/core PVC Alumn. Cable scrap - 0.912, </v>
      </c>
      <c r="H319" s="133"/>
    </row>
    <row r="320" spans="1:8" ht="15" customHeight="1">
      <c r="A320" s="275"/>
      <c r="B320" s="275"/>
      <c r="C320" s="275"/>
      <c r="D320" s="50" t="s">
        <v>93</v>
      </c>
      <c r="E320" s="51">
        <v>1.693</v>
      </c>
      <c r="G320" s="119" t="str">
        <f>CONCATENATE(D320," - ",E320,", ")</f>
        <v>3/ core XLPE Alu cable scrap - 1.693, </v>
      </c>
      <c r="H320" s="132"/>
    </row>
    <row r="321" spans="1:8" ht="15" customHeight="1">
      <c r="A321" s="275"/>
      <c r="B321" s="275"/>
      <c r="C321" s="275"/>
      <c r="D321" s="50" t="s">
        <v>251</v>
      </c>
      <c r="E321" s="51">
        <v>0.265</v>
      </c>
      <c r="G321" s="119" t="str">
        <f>CONCATENATE(D321," - ",E321,", ")</f>
        <v>ABC cable scrap (150 mm) - 0.265, </v>
      </c>
      <c r="H321" s="132"/>
    </row>
    <row r="322" spans="1:8" ht="15" customHeight="1">
      <c r="A322" s="44"/>
      <c r="B322" s="46"/>
      <c r="C322" s="47"/>
      <c r="D322" s="38"/>
      <c r="E322" s="54"/>
      <c r="G322" s="119"/>
      <c r="H322" s="132"/>
    </row>
    <row r="323" spans="1:8" ht="15" customHeight="1">
      <c r="A323" s="44"/>
      <c r="B323" s="53"/>
      <c r="C323" s="201"/>
      <c r="D323" s="203"/>
      <c r="E323" s="97">
        <f>SUM(E325:E329)</f>
        <v>2.2390000000000003</v>
      </c>
      <c r="G323" s="121"/>
      <c r="H323" s="132"/>
    </row>
    <row r="324" spans="1:18" ht="15" customHeight="1">
      <c r="A324" s="45" t="s">
        <v>5</v>
      </c>
      <c r="B324" s="283" t="s">
        <v>17</v>
      </c>
      <c r="C324" s="290"/>
      <c r="D324" s="200" t="s">
        <v>18</v>
      </c>
      <c r="E324" s="45" t="s">
        <v>7</v>
      </c>
      <c r="G324" s="121" t="str">
        <f>CONCATENATE("Cable Scrap, Lying at ",B325,". Quantity in MT - ")</f>
        <v>Cable Scrap, Lying at OL Ropar. Quantity in MT - </v>
      </c>
      <c r="H324" s="273" t="str">
        <f ca="1">CONCATENATE(G324,G325,(INDIRECT(I325)),(INDIRECT(J325)),(INDIRECT(K325)),(INDIRECT(L325)),(INDIRECT(M325)),(INDIRECT(N325)),(INDIRECT(O325)),(INDIRECT(P325)),(INDIRECT(Q325)),(INDIRECT(R325)),".")</f>
        <v>Cable Scrap, Lying at OL Ropar. Quantity in MT - 2/core PVC Alumn. Cable scrap - 0.364, 4/core PVC Alumn. Cable scrap - 0.406, 3/ core XLPE Alu cable scrap - 1.425, 1/core PVC Alumn. Cable scrap - 0.017, Alu.  seals scrap with lash wire - 0.027, .</v>
      </c>
      <c r="I324" s="128" t="str">
        <f aca="true" ca="1" t="array" ref="I324">CELL("address",INDEX(G324:G348,MATCH(TRUE,ISBLANK(G324:G348),0)))</f>
        <v>$G$330</v>
      </c>
      <c r="J324" s="128">
        <f aca="true" t="array" ref="J324">MATCH(TRUE,ISBLANK(G324:G348),0)</f>
        <v>7</v>
      </c>
      <c r="K324" s="128">
        <f>J324-3</f>
        <v>4</v>
      </c>
      <c r="L324" s="128"/>
      <c r="M324" s="128"/>
      <c r="N324" s="128"/>
      <c r="O324" s="128"/>
      <c r="P324" s="128"/>
      <c r="Q324" s="128"/>
      <c r="R324" s="128"/>
    </row>
    <row r="325" spans="1:18" ht="15" customHeight="1">
      <c r="A325" s="275" t="s">
        <v>171</v>
      </c>
      <c r="B325" s="275" t="s">
        <v>99</v>
      </c>
      <c r="C325" s="275"/>
      <c r="D325" s="50" t="s">
        <v>91</v>
      </c>
      <c r="E325" s="52">
        <v>0.364</v>
      </c>
      <c r="G325" s="119" t="str">
        <f>CONCATENATE(D325," - ",E325,", ")</f>
        <v>2/core PVC Alumn. Cable scrap - 0.364, </v>
      </c>
      <c r="H325" s="273"/>
      <c r="I325" s="128" t="str">
        <f ca="1">IF(J324&gt;=3,(MID(I324,2,1)&amp;MID(I324,4,3)-K324),CELL("address",Z325))</f>
        <v>G326</v>
      </c>
      <c r="J325" s="128" t="str">
        <f ca="1">IF(J324&gt;=4,(MID(I325,1,1)&amp;MID(I325,2,3)+1),CELL("address",AA325))</f>
        <v>G327</v>
      </c>
      <c r="K325" s="128" t="str">
        <f ca="1">IF(J324&gt;=5,(MID(J325,1,1)&amp;MID(J325,2,3)+1),CELL("address",AB325))</f>
        <v>G328</v>
      </c>
      <c r="L325" s="128" t="str">
        <f ca="1">IF(J324&gt;=6,(MID(K325,1,1)&amp;MID(K325,2,3)+1),CELL("address",AC325))</f>
        <v>G329</v>
      </c>
      <c r="M325" s="128" t="str">
        <f ca="1">IF(J324&gt;=7,(MID(L325,1,1)&amp;MID(L325,2,3)+1),CELL("address",AD325))</f>
        <v>G330</v>
      </c>
      <c r="N325" s="128" t="str">
        <f ca="1">IF(J324&gt;=8,(MID(M325,1,1)&amp;MID(M325,2,3)+1),CELL("address",AE325))</f>
        <v>$AE$325</v>
      </c>
      <c r="O325" s="128" t="str">
        <f ca="1">IF(J324&gt;=9,(MID(N325,1,1)&amp;MID(N325,2,3)+1),CELL("address",AF325))</f>
        <v>$AF$325</v>
      </c>
      <c r="P325" s="128" t="str">
        <f ca="1">IF(J324&gt;=10,(MID(O325,1,1)&amp;MID(O325,2,3)+1),CELL("address",AG325))</f>
        <v>$AG$325</v>
      </c>
      <c r="Q325" s="128" t="str">
        <f ca="1">IF(J324&gt;=11,(MID(P325,1,1)&amp;MID(P325,2,3)+1),CELL("address",AH325))</f>
        <v>$AH$325</v>
      </c>
      <c r="R325" s="128" t="str">
        <f ca="1">IF(J324&gt;=12,(MID(Q325,1,1)&amp;MID(Q325,2,3)+1),CELL("address",AI325))</f>
        <v>$AI$325</v>
      </c>
    </row>
    <row r="326" spans="1:8" ht="15" customHeight="1">
      <c r="A326" s="275"/>
      <c r="B326" s="275"/>
      <c r="C326" s="275"/>
      <c r="D326" s="50" t="s">
        <v>92</v>
      </c>
      <c r="E326" s="52">
        <v>0.406</v>
      </c>
      <c r="G326" s="119" t="str">
        <f>CONCATENATE(D326," - ",E326,", ")</f>
        <v>4/core PVC Alumn. Cable scrap - 0.406, </v>
      </c>
      <c r="H326" s="132"/>
    </row>
    <row r="327" spans="1:8" ht="15" customHeight="1">
      <c r="A327" s="275"/>
      <c r="B327" s="275"/>
      <c r="C327" s="275"/>
      <c r="D327" s="50" t="s">
        <v>93</v>
      </c>
      <c r="E327" s="52">
        <v>1.425</v>
      </c>
      <c r="G327" s="119" t="str">
        <f>CONCATENATE(D327," - ",E327,", ")</f>
        <v>3/ core XLPE Alu cable scrap - 1.425, </v>
      </c>
      <c r="H327" s="132"/>
    </row>
    <row r="328" spans="1:8" ht="15" customHeight="1">
      <c r="A328" s="275"/>
      <c r="B328" s="275"/>
      <c r="C328" s="275"/>
      <c r="D328" s="50" t="s">
        <v>173</v>
      </c>
      <c r="E328" s="52">
        <v>0.017</v>
      </c>
      <c r="G328" s="119" t="str">
        <f>CONCATENATE(D328," - ",E328,", ")</f>
        <v>1/core PVC Alumn. Cable scrap - 0.017, </v>
      </c>
      <c r="H328" s="132"/>
    </row>
    <row r="329" spans="1:8" ht="15" customHeight="1">
      <c r="A329" s="275"/>
      <c r="B329" s="275"/>
      <c r="C329" s="275"/>
      <c r="D329" s="50" t="s">
        <v>352</v>
      </c>
      <c r="E329" s="52">
        <v>0.027</v>
      </c>
      <c r="G329" s="119" t="str">
        <f>CONCATENATE(D329," - ",E329,", ")</f>
        <v>Alu.  seals scrap with lash wire - 0.027, </v>
      </c>
      <c r="H329" s="132"/>
    </row>
    <row r="330" spans="1:8" ht="15" customHeight="1">
      <c r="A330" s="44"/>
      <c r="B330" s="46"/>
      <c r="C330" s="47"/>
      <c r="D330" s="38"/>
      <c r="E330" s="54"/>
      <c r="G330" s="119"/>
      <c r="H330" s="132"/>
    </row>
    <row r="331" spans="1:8" ht="15" customHeight="1">
      <c r="A331" s="44"/>
      <c r="B331" s="53"/>
      <c r="C331" s="201"/>
      <c r="D331" s="203"/>
      <c r="E331" s="97">
        <f>SUM(E333:E335)</f>
        <v>7.0760000000000005</v>
      </c>
      <c r="G331" s="119"/>
      <c r="H331" s="132"/>
    </row>
    <row r="332" spans="1:18" ht="15" customHeight="1">
      <c r="A332" s="45" t="s">
        <v>5</v>
      </c>
      <c r="B332" s="283" t="s">
        <v>17</v>
      </c>
      <c r="C332" s="290"/>
      <c r="D332" s="200" t="s">
        <v>18</v>
      </c>
      <c r="E332" s="45" t="s">
        <v>7</v>
      </c>
      <c r="G332" s="121" t="str">
        <f>CONCATENATE("Cable Scrap, Lying at ",B333,". Quantity in MT - ")</f>
        <v>Cable Scrap, Lying at CS Malout. Quantity in MT - </v>
      </c>
      <c r="H332" s="273" t="str">
        <f ca="1">CONCATENATE(G332,G333,(INDIRECT(I333)),(INDIRECT(J333)),(INDIRECT(K333)),(INDIRECT(L333)),(INDIRECT(M333)),(INDIRECT(N333)),(INDIRECT(O333)),(INDIRECT(P333)),(INDIRECT(Q333)),(INDIRECT(R333)),".")</f>
        <v>Cable Scrap, Lying at CS Malout. Quantity in MT - 2/core PVC Alumn. Cable scrap - 1.19, 4/core PVC Alumn. Cable scrap - 1.351, 3/ core XLPE Alu cable scrap - 4.535, .</v>
      </c>
      <c r="I332" s="128" t="str">
        <f aca="true" ca="1" t="array" ref="I332">CELL("address",INDEX(G332:G355,MATCH(TRUE,ISBLANK(G332:G355),0)))</f>
        <v>$G$336</v>
      </c>
      <c r="J332" s="128">
        <f aca="true" t="array" ref="J332">MATCH(TRUE,ISBLANK(G332:G355),0)</f>
        <v>5</v>
      </c>
      <c r="K332" s="128">
        <f>J332-3</f>
        <v>2</v>
      </c>
      <c r="L332" s="128"/>
      <c r="M332" s="128"/>
      <c r="N332" s="128"/>
      <c r="O332" s="128"/>
      <c r="P332" s="128"/>
      <c r="Q332" s="128"/>
      <c r="R332" s="128"/>
    </row>
    <row r="333" spans="1:18" ht="15" customHeight="1">
      <c r="A333" s="275" t="s">
        <v>172</v>
      </c>
      <c r="B333" s="275" t="s">
        <v>96</v>
      </c>
      <c r="C333" s="275"/>
      <c r="D333" s="50" t="s">
        <v>91</v>
      </c>
      <c r="E333" s="52">
        <v>1.19</v>
      </c>
      <c r="G333" s="119" t="str">
        <f>CONCATENATE(D333," - ",E333,", ")</f>
        <v>2/core PVC Alumn. Cable scrap - 1.19, </v>
      </c>
      <c r="H333" s="273"/>
      <c r="I333" s="128" t="str">
        <f ca="1">IF(J332&gt;=3,(MID(I332,2,1)&amp;MID(I332,4,3)-K332),CELL("address",Z333))</f>
        <v>G334</v>
      </c>
      <c r="J333" s="128" t="str">
        <f ca="1">IF(J332&gt;=4,(MID(I333,1,1)&amp;MID(I333,2,3)+1),CELL("address",AA333))</f>
        <v>G335</v>
      </c>
      <c r="K333" s="128" t="str">
        <f ca="1">IF(J332&gt;=5,(MID(J333,1,1)&amp;MID(J333,2,3)+1),CELL("address",AB333))</f>
        <v>G336</v>
      </c>
      <c r="L333" s="128" t="str">
        <f ca="1">IF(J332&gt;=6,(MID(K333,1,1)&amp;MID(K333,2,3)+1),CELL("address",AC333))</f>
        <v>$AC$333</v>
      </c>
      <c r="M333" s="128" t="str">
        <f ca="1">IF(J332&gt;=7,(MID(L333,1,1)&amp;MID(L333,2,3)+1),CELL("address",AD333))</f>
        <v>$AD$333</v>
      </c>
      <c r="N333" s="128" t="str">
        <f ca="1">IF(J332&gt;=8,(MID(M333,1,1)&amp;MID(M333,2,3)+1),CELL("address",AE333))</f>
        <v>$AE$333</v>
      </c>
      <c r="O333" s="128" t="str">
        <f ca="1">IF(J332&gt;=9,(MID(N333,1,1)&amp;MID(N333,2,3)+1),CELL("address",AF333))</f>
        <v>$AF$333</v>
      </c>
      <c r="P333" s="128" t="str">
        <f ca="1">IF(J332&gt;=10,(MID(O333,1,1)&amp;MID(O333,2,3)+1),CELL("address",AG333))</f>
        <v>$AG$333</v>
      </c>
      <c r="Q333" s="128" t="str">
        <f ca="1">IF(J332&gt;=11,(MID(P333,1,1)&amp;MID(P333,2,3)+1),CELL("address",AH333))</f>
        <v>$AH$333</v>
      </c>
      <c r="R333" s="128" t="str">
        <f ca="1">IF(J332&gt;=12,(MID(Q333,1,1)&amp;MID(Q333,2,3)+1),CELL("address",AI333))</f>
        <v>$AI$333</v>
      </c>
    </row>
    <row r="334" spans="1:8" ht="15" customHeight="1">
      <c r="A334" s="275"/>
      <c r="B334" s="275"/>
      <c r="C334" s="275"/>
      <c r="D334" s="50" t="s">
        <v>92</v>
      </c>
      <c r="E334" s="52">
        <v>1.351</v>
      </c>
      <c r="G334" s="119" t="str">
        <f>CONCATENATE(D334," - ",E334,", ")</f>
        <v>4/core PVC Alumn. Cable scrap - 1.351, </v>
      </c>
      <c r="H334" s="133"/>
    </row>
    <row r="335" spans="1:8" ht="15" customHeight="1">
      <c r="A335" s="275"/>
      <c r="B335" s="275"/>
      <c r="C335" s="275"/>
      <c r="D335" s="50" t="s">
        <v>93</v>
      </c>
      <c r="E335" s="52">
        <v>4.535</v>
      </c>
      <c r="G335" s="119" t="str">
        <f>CONCATENATE(D335," - ",E335,", ")</f>
        <v>3/ core XLPE Alu cable scrap - 4.535, </v>
      </c>
      <c r="H335" s="132"/>
    </row>
    <row r="336" spans="1:8" ht="15" customHeight="1">
      <c r="A336" s="44"/>
      <c r="B336" s="46"/>
      <c r="C336" s="47"/>
      <c r="D336" s="50"/>
      <c r="E336" s="52"/>
      <c r="G336" s="119"/>
      <c r="H336" s="132"/>
    </row>
    <row r="337" spans="1:8" ht="15" customHeight="1">
      <c r="A337" s="44"/>
      <c r="B337" s="53"/>
      <c r="C337" s="201"/>
      <c r="D337" s="203"/>
      <c r="E337" s="97">
        <f>SUM(E339:E342)</f>
        <v>2.9930000000000003</v>
      </c>
      <c r="G337" s="119"/>
      <c r="H337" s="132"/>
    </row>
    <row r="338" spans="1:18" ht="15" customHeight="1">
      <c r="A338" s="45" t="s">
        <v>5</v>
      </c>
      <c r="B338" s="283" t="s">
        <v>17</v>
      </c>
      <c r="C338" s="290"/>
      <c r="D338" s="200" t="s">
        <v>18</v>
      </c>
      <c r="E338" s="45" t="s">
        <v>7</v>
      </c>
      <c r="G338" s="121" t="str">
        <f>CONCATENATE("Cable Scrap, Lying at ",B339,". Quantity in MT - ")</f>
        <v>Cable Scrap, Lying at OL Nabha. Quantity in MT - </v>
      </c>
      <c r="H338" s="273" t="str">
        <f ca="1">CONCATENATE(G338,G339,(INDIRECT(I339)),(INDIRECT(J339)),(INDIRECT(K339)),(INDIRECT(L339)),(INDIRECT(M339)),(INDIRECT(N339)),(INDIRECT(O339)),(INDIRECT(P339)),(INDIRECT(Q339)),(INDIRECT(R339)),".")</f>
        <v>Cable Scrap, Lying at OL Nabha. Quantity in MT - 2/core PVC Alumn. Cable scrap - 1.07, 4/core PVC Alumn. Cable scrap - 0.736, 3/ core XLPE Alu cable scrap - 1.147, ABC cable scrap (70/95 mm) - 0.04, .</v>
      </c>
      <c r="I338" s="128" t="str">
        <f aca="true" ca="1" t="array" ref="I338">CELL("address",INDEX(G338:G361,MATCH(TRUE,ISBLANK(G338:G361),0)))</f>
        <v>$G$343</v>
      </c>
      <c r="J338" s="128">
        <f aca="true" t="array" ref="J338">MATCH(TRUE,ISBLANK(G338:G361),0)</f>
        <v>6</v>
      </c>
      <c r="K338" s="128">
        <f>J338-3</f>
        <v>3</v>
      </c>
      <c r="L338" s="128"/>
      <c r="M338" s="128"/>
      <c r="N338" s="128"/>
      <c r="O338" s="128"/>
      <c r="P338" s="128"/>
      <c r="Q338" s="128"/>
      <c r="R338" s="128"/>
    </row>
    <row r="339" spans="1:18" ht="15" customHeight="1">
      <c r="A339" s="275" t="s">
        <v>174</v>
      </c>
      <c r="B339" s="275" t="s">
        <v>106</v>
      </c>
      <c r="C339" s="275"/>
      <c r="D339" s="50" t="s">
        <v>91</v>
      </c>
      <c r="E339" s="52">
        <v>1.07</v>
      </c>
      <c r="G339" s="119" t="str">
        <f>CONCATENATE(D339," - ",E339,", ")</f>
        <v>2/core PVC Alumn. Cable scrap - 1.07, </v>
      </c>
      <c r="H339" s="273"/>
      <c r="I339" s="128" t="str">
        <f ca="1">IF(J338&gt;=3,(MID(I338,2,1)&amp;MID(I338,4,3)-K338),CELL("address",Z339))</f>
        <v>G340</v>
      </c>
      <c r="J339" s="128" t="str">
        <f ca="1">IF(J338&gt;=4,(MID(I339,1,1)&amp;MID(I339,2,3)+1),CELL("address",AA339))</f>
        <v>G341</v>
      </c>
      <c r="K339" s="128" t="str">
        <f ca="1">IF(J338&gt;=5,(MID(J339,1,1)&amp;MID(J339,2,3)+1),CELL("address",AB339))</f>
        <v>G342</v>
      </c>
      <c r="L339" s="128" t="str">
        <f ca="1">IF(J338&gt;=6,(MID(K339,1,1)&amp;MID(K339,2,3)+1),CELL("address",AC339))</f>
        <v>G343</v>
      </c>
      <c r="M339" s="128" t="str">
        <f ca="1">IF(J338&gt;=7,(MID(L339,1,1)&amp;MID(L339,2,3)+1),CELL("address",AD339))</f>
        <v>$AD$339</v>
      </c>
      <c r="N339" s="128" t="str">
        <f ca="1">IF(J338&gt;=8,(MID(M339,1,1)&amp;MID(M339,2,3)+1),CELL("address",AE339))</f>
        <v>$AE$339</v>
      </c>
      <c r="O339" s="128" t="str">
        <f ca="1">IF(J338&gt;=9,(MID(N339,1,1)&amp;MID(N339,2,3)+1),CELL("address",AF339))</f>
        <v>$AF$339</v>
      </c>
      <c r="P339" s="128" t="str">
        <f ca="1">IF(J338&gt;=10,(MID(O339,1,1)&amp;MID(O339,2,3)+1),CELL("address",AG339))</f>
        <v>$AG$339</v>
      </c>
      <c r="Q339" s="128" t="str">
        <f ca="1">IF(J338&gt;=11,(MID(P339,1,1)&amp;MID(P339,2,3)+1),CELL("address",AH339))</f>
        <v>$AH$339</v>
      </c>
      <c r="R339" s="128" t="str">
        <f ca="1">IF(J338&gt;=12,(MID(Q339,1,1)&amp;MID(Q339,2,3)+1),CELL("address",AI339))</f>
        <v>$AI$339</v>
      </c>
    </row>
    <row r="340" spans="1:8" ht="15" customHeight="1">
      <c r="A340" s="275"/>
      <c r="B340" s="275"/>
      <c r="C340" s="275"/>
      <c r="D340" s="50" t="s">
        <v>92</v>
      </c>
      <c r="E340" s="52">
        <v>0.736</v>
      </c>
      <c r="G340" s="119" t="str">
        <f>CONCATENATE(D340," - ",E340,", ")</f>
        <v>4/core PVC Alumn. Cable scrap - 0.736, </v>
      </c>
      <c r="H340" s="132"/>
    </row>
    <row r="341" spans="1:8" ht="15" customHeight="1">
      <c r="A341" s="275"/>
      <c r="B341" s="275"/>
      <c r="C341" s="275"/>
      <c r="D341" s="50" t="s">
        <v>93</v>
      </c>
      <c r="E341" s="52">
        <v>1.147</v>
      </c>
      <c r="G341" s="119" t="str">
        <f>CONCATENATE(D341," - ",E341,", ")</f>
        <v>3/ core XLPE Alu cable scrap - 1.147, </v>
      </c>
      <c r="H341" s="132"/>
    </row>
    <row r="342" spans="1:8" ht="15" customHeight="1">
      <c r="A342" s="275"/>
      <c r="B342" s="275"/>
      <c r="C342" s="275"/>
      <c r="D342" s="50" t="s">
        <v>170</v>
      </c>
      <c r="E342" s="52">
        <v>0.04</v>
      </c>
      <c r="G342" s="119" t="str">
        <f>CONCATENATE(D342," - ",E342,", ")</f>
        <v>ABC cable scrap (70/95 mm) - 0.04, </v>
      </c>
      <c r="H342" s="132"/>
    </row>
    <row r="343" spans="1:8" ht="15" customHeight="1">
      <c r="A343" s="44"/>
      <c r="B343" s="46"/>
      <c r="C343" s="47"/>
      <c r="D343" s="38"/>
      <c r="E343" s="54"/>
      <c r="G343" s="119"/>
      <c r="H343" s="132"/>
    </row>
    <row r="344" spans="1:8" ht="15" customHeight="1">
      <c r="A344" s="44"/>
      <c r="B344" s="213"/>
      <c r="C344" s="214"/>
      <c r="D344" s="207"/>
      <c r="E344" s="49">
        <f>SUM(E346:E350)</f>
        <v>11.424</v>
      </c>
      <c r="G344" s="119"/>
      <c r="H344" s="132"/>
    </row>
    <row r="345" spans="1:18" ht="15" customHeight="1">
      <c r="A345" s="45" t="s">
        <v>5</v>
      </c>
      <c r="B345" s="283" t="s">
        <v>17</v>
      </c>
      <c r="C345" s="290"/>
      <c r="D345" s="200" t="s">
        <v>18</v>
      </c>
      <c r="E345" s="45" t="s">
        <v>7</v>
      </c>
      <c r="G345" s="121" t="str">
        <f>CONCATENATE("Cable Scrap, Lying at ",B346,". Quantity in MT - ")</f>
        <v>Cable Scrap, Lying at CS Patiala. Quantity in MT - </v>
      </c>
      <c r="H345" s="273" t="str">
        <f ca="1">CONCATENATE(G345,G346,(INDIRECT(I346)),(INDIRECT(J346)),(INDIRECT(K346)),(INDIRECT(L346)),(INDIRECT(M346)),(INDIRECT(N346)),(INDIRECT(O346)),(INDIRECT(P346)),(INDIRECT(Q346)),(INDIRECT(R346)),".")</f>
        <v>Cable Scrap, Lying at CS Patiala. Quantity in MT - 1/core PVC Alumn. Cable scrap - 0.301, 2/core PVC Alumn. Cable scrap - 1.07, 4/core PVC Alumn. Cable scrap - 2.823, 3/ core XLPE Alu cable scrap - 2.007, ABC cable scrap (150 mm) - 5.223, .</v>
      </c>
      <c r="I345" s="128" t="str">
        <f aca="true" ca="1" t="array" ref="I345">CELL("address",INDEX(G345:G369,MATCH(TRUE,ISBLANK(G345:G369),0)))</f>
        <v>$G$351</v>
      </c>
      <c r="J345" s="128">
        <f aca="true" t="array" ref="J345">MATCH(TRUE,ISBLANK(G345:G369),0)</f>
        <v>7</v>
      </c>
      <c r="K345" s="128">
        <f>J345-3</f>
        <v>4</v>
      </c>
      <c r="L345" s="128"/>
      <c r="M345" s="128"/>
      <c r="N345" s="128"/>
      <c r="O345" s="128"/>
      <c r="P345" s="128"/>
      <c r="Q345" s="128"/>
      <c r="R345" s="128"/>
    </row>
    <row r="346" spans="1:18" ht="15" customHeight="1">
      <c r="A346" s="275" t="s">
        <v>175</v>
      </c>
      <c r="B346" s="275" t="s">
        <v>53</v>
      </c>
      <c r="C346" s="275"/>
      <c r="D346" s="50" t="s">
        <v>173</v>
      </c>
      <c r="E346" s="45">
        <v>0.301</v>
      </c>
      <c r="G346" s="119" t="str">
        <f>CONCATENATE(D346," - ",E346,", ")</f>
        <v>1/core PVC Alumn. Cable scrap - 0.301, </v>
      </c>
      <c r="H346" s="273"/>
      <c r="I346" s="128" t="str">
        <f ca="1">IF(J345&gt;=3,(MID(I345,2,1)&amp;MID(I345,4,3)-K345),CELL("address",Z346))</f>
        <v>G347</v>
      </c>
      <c r="J346" s="128" t="str">
        <f ca="1">IF(J345&gt;=4,(MID(I346,1,1)&amp;MID(I346,2,3)+1),CELL("address",AA346))</f>
        <v>G348</v>
      </c>
      <c r="K346" s="128" t="str">
        <f ca="1">IF(J345&gt;=5,(MID(J346,1,1)&amp;MID(J346,2,3)+1),CELL("address",AB346))</f>
        <v>G349</v>
      </c>
      <c r="L346" s="128" t="str">
        <f ca="1">IF(J345&gt;=6,(MID(K346,1,1)&amp;MID(K346,2,3)+1),CELL("address",AC346))</f>
        <v>G350</v>
      </c>
      <c r="M346" s="128" t="str">
        <f ca="1">IF(J345&gt;=7,(MID(L346,1,1)&amp;MID(L346,2,3)+1),CELL("address",AD346))</f>
        <v>G351</v>
      </c>
      <c r="N346" s="128" t="str">
        <f ca="1">IF(J345&gt;=8,(MID(M346,1,1)&amp;MID(M346,2,3)+1),CELL("address",AE346))</f>
        <v>$AE$346</v>
      </c>
      <c r="O346" s="128" t="str">
        <f ca="1">IF(J345&gt;=9,(MID(N346,1,1)&amp;MID(N346,2,3)+1),CELL("address",AF346))</f>
        <v>$AF$346</v>
      </c>
      <c r="P346" s="128" t="str">
        <f ca="1">IF(J345&gt;=10,(MID(O346,1,1)&amp;MID(O346,2,3)+1),CELL("address",AG346))</f>
        <v>$AG$346</v>
      </c>
      <c r="Q346" s="128" t="str">
        <f ca="1">IF(J345&gt;=11,(MID(P346,1,1)&amp;MID(P346,2,3)+1),CELL("address",AH346))</f>
        <v>$AH$346</v>
      </c>
      <c r="R346" s="128" t="str">
        <f ca="1">IF(J345&gt;=12,(MID(Q346,1,1)&amp;MID(Q346,2,3)+1),CELL("address",AI346))</f>
        <v>$AI$346</v>
      </c>
    </row>
    <row r="347" spans="1:8" ht="15" customHeight="1">
      <c r="A347" s="275"/>
      <c r="B347" s="275"/>
      <c r="C347" s="275"/>
      <c r="D347" s="50" t="s">
        <v>91</v>
      </c>
      <c r="E347" s="51">
        <v>1.07</v>
      </c>
      <c r="G347" s="119" t="str">
        <f>CONCATENATE(D347," - ",E347,", ")</f>
        <v>2/core PVC Alumn. Cable scrap - 1.07, </v>
      </c>
      <c r="H347" s="132"/>
    </row>
    <row r="348" spans="1:8" ht="15" customHeight="1">
      <c r="A348" s="275"/>
      <c r="B348" s="275"/>
      <c r="C348" s="275"/>
      <c r="D348" s="50" t="s">
        <v>92</v>
      </c>
      <c r="E348" s="51">
        <v>2.823</v>
      </c>
      <c r="G348" s="119" t="str">
        <f>CONCATENATE(D348," - ",E348,", ")</f>
        <v>4/core PVC Alumn. Cable scrap - 2.823, </v>
      </c>
      <c r="H348" s="132"/>
    </row>
    <row r="349" spans="1:8" ht="15" customHeight="1">
      <c r="A349" s="275"/>
      <c r="B349" s="275"/>
      <c r="C349" s="275"/>
      <c r="D349" s="50" t="s">
        <v>93</v>
      </c>
      <c r="E349" s="50">
        <v>2.007</v>
      </c>
      <c r="G349" s="119" t="str">
        <f>CONCATENATE(D349," - ",E349,", ")</f>
        <v>3/ core XLPE Alu cable scrap - 2.007, </v>
      </c>
      <c r="H349" s="132"/>
    </row>
    <row r="350" spans="1:8" ht="15" customHeight="1">
      <c r="A350" s="275"/>
      <c r="B350" s="275"/>
      <c r="C350" s="275"/>
      <c r="D350" s="38" t="s">
        <v>251</v>
      </c>
      <c r="E350" s="38">
        <v>5.223</v>
      </c>
      <c r="F350" s="1" t="s">
        <v>327</v>
      </c>
      <c r="G350" s="119" t="str">
        <f>CONCATENATE(D350," - ",E350,", ")</f>
        <v>ABC cable scrap (150 mm) - 5.223, </v>
      </c>
      <c r="H350" s="132"/>
    </row>
    <row r="351" spans="1:8" ht="15" customHeight="1">
      <c r="A351" s="44"/>
      <c r="B351" s="46"/>
      <c r="C351" s="47"/>
      <c r="D351" s="38"/>
      <c r="E351" s="54"/>
      <c r="G351" s="119"/>
      <c r="H351" s="132"/>
    </row>
    <row r="352" spans="1:8" ht="15" customHeight="1">
      <c r="A352" s="40"/>
      <c r="E352" s="197">
        <f>SUM(E354:E357)</f>
        <v>1.25</v>
      </c>
      <c r="G352" s="119"/>
      <c r="H352" s="193"/>
    </row>
    <row r="353" spans="1:18" ht="15" customHeight="1">
      <c r="A353" s="45" t="s">
        <v>5</v>
      </c>
      <c r="B353" s="283" t="s">
        <v>17</v>
      </c>
      <c r="C353" s="290"/>
      <c r="D353" s="200" t="s">
        <v>18</v>
      </c>
      <c r="E353" s="45" t="s">
        <v>7</v>
      </c>
      <c r="G353" s="121" t="str">
        <f>CONCATENATE("Cable Scrap, Lying at ",B354,". Quantity in MT - ")</f>
        <v>Cable Scrap, Lying at OL Rajpura. Quantity in MT - </v>
      </c>
      <c r="H353" s="273" t="str">
        <f ca="1">CONCATENATE(G353,G354,(INDIRECT(I354)),(INDIRECT(J354)),(INDIRECT(K354)),(INDIRECT(L354)),(INDIRECT(M354)),(INDIRECT(N354)),(INDIRECT(O354)),(INDIRECT(P354)),(INDIRECT(Q354)),(INDIRECT(R354)),".")</f>
        <v>Cable Scrap, Lying at OL Rajpura. Quantity in MT - 2/core PVC Alumn. Cable scrap - 0.176, 4/core PVC Alumn. Cable scrap - 0.376, 3/ core XLPE Alu cable scrap - 0.139, ABC cable scrap (70/95 mm) - 0.559, .</v>
      </c>
      <c r="I353" s="128" t="str">
        <f aca="true" ca="1" t="array" ref="I353">CELL("address",INDEX(G353:G405,MATCH(TRUE,ISBLANK(G353:G405),0)))</f>
        <v>$G$358</v>
      </c>
      <c r="J353" s="128">
        <f aca="true" t="array" ref="J353">MATCH(TRUE,ISBLANK(G353:G405),0)</f>
        <v>6</v>
      </c>
      <c r="K353" s="128">
        <f>J353-3</f>
        <v>3</v>
      </c>
      <c r="L353" s="128"/>
      <c r="M353" s="128"/>
      <c r="N353" s="128"/>
      <c r="O353" s="128"/>
      <c r="P353" s="128"/>
      <c r="Q353" s="128"/>
      <c r="R353" s="128"/>
    </row>
    <row r="354" spans="1:18" ht="15" customHeight="1">
      <c r="A354" s="275" t="s">
        <v>176</v>
      </c>
      <c r="B354" s="275" t="s">
        <v>105</v>
      </c>
      <c r="C354" s="275"/>
      <c r="D354" s="50" t="s">
        <v>91</v>
      </c>
      <c r="E354" s="45">
        <v>0.176</v>
      </c>
      <c r="G354" s="119" t="str">
        <f>CONCATENATE(D354," - ",E354,", ")</f>
        <v>2/core PVC Alumn. Cable scrap - 0.176, </v>
      </c>
      <c r="H354" s="273"/>
      <c r="I354" s="128" t="str">
        <f ca="1">IF(J353&gt;=3,(MID(I353,2,1)&amp;MID(I353,4,3)-K353),CELL("address",Z354))</f>
        <v>G355</v>
      </c>
      <c r="J354" s="128" t="str">
        <f ca="1">IF(J353&gt;=4,(MID(I354,1,1)&amp;MID(I354,2,3)+1),CELL("address",AA354))</f>
        <v>G356</v>
      </c>
      <c r="K354" s="128" t="str">
        <f ca="1">IF(J353&gt;=5,(MID(J354,1,1)&amp;MID(J354,2,3)+1),CELL("address",AB354))</f>
        <v>G357</v>
      </c>
      <c r="L354" s="128" t="str">
        <f ca="1">IF(J353&gt;=6,(MID(K354,1,1)&amp;MID(K354,2,3)+1),CELL("address",AC354))</f>
        <v>G358</v>
      </c>
      <c r="M354" s="128" t="str">
        <f ca="1">IF(J353&gt;=7,(MID(L354,1,1)&amp;MID(L354,2,3)+1),CELL("address",AD354))</f>
        <v>$AD$354</v>
      </c>
      <c r="N354" s="128" t="str">
        <f ca="1">IF(J353&gt;=8,(MID(M354,1,1)&amp;MID(M354,2,3)+1),CELL("address",AE354))</f>
        <v>$AE$354</v>
      </c>
      <c r="O354" s="128" t="str">
        <f ca="1">IF(J353&gt;=9,(MID(N354,1,1)&amp;MID(N354,2,3)+1),CELL("address",AF354))</f>
        <v>$AF$354</v>
      </c>
      <c r="P354" s="128" t="str">
        <f ca="1">IF(J353&gt;=10,(MID(O354,1,1)&amp;MID(O354,2,3)+1),CELL("address",AG354))</f>
        <v>$AG$354</v>
      </c>
      <c r="Q354" s="128" t="str">
        <f ca="1">IF(J353&gt;=11,(MID(P354,1,1)&amp;MID(P354,2,3)+1),CELL("address",AH354))</f>
        <v>$AH$354</v>
      </c>
      <c r="R354" s="128" t="str">
        <f ca="1">IF(J353&gt;=12,(MID(Q354,1,1)&amp;MID(Q354,2,3)+1),CELL("address",AI354))</f>
        <v>$AI$354</v>
      </c>
    </row>
    <row r="355" spans="1:8" ht="15" customHeight="1">
      <c r="A355" s="275"/>
      <c r="B355" s="275"/>
      <c r="C355" s="275"/>
      <c r="D355" s="50" t="s">
        <v>92</v>
      </c>
      <c r="E355" s="51">
        <v>0.376</v>
      </c>
      <c r="G355" s="119" t="str">
        <f>CONCATENATE(D355," - ",E355,", ")</f>
        <v>4/core PVC Alumn. Cable scrap - 0.376, </v>
      </c>
      <c r="H355" s="132"/>
    </row>
    <row r="356" spans="1:8" ht="15" customHeight="1">
      <c r="A356" s="275"/>
      <c r="B356" s="275"/>
      <c r="C356" s="275"/>
      <c r="D356" s="50" t="s">
        <v>93</v>
      </c>
      <c r="E356" s="51">
        <v>0.139</v>
      </c>
      <c r="G356" s="119" t="str">
        <f>CONCATENATE(D356," - ",E356,", ")</f>
        <v>3/ core XLPE Alu cable scrap - 0.139, </v>
      </c>
      <c r="H356" s="132"/>
    </row>
    <row r="357" spans="1:8" ht="15" customHeight="1">
      <c r="A357" s="275"/>
      <c r="B357" s="275"/>
      <c r="C357" s="275"/>
      <c r="D357" s="50" t="s">
        <v>170</v>
      </c>
      <c r="E357" s="52">
        <v>0.559</v>
      </c>
      <c r="G357" s="119" t="str">
        <f>CONCATENATE(D357," - ",E357,", ")</f>
        <v>ABC cable scrap (70/95 mm) - 0.559, </v>
      </c>
      <c r="H357" s="132"/>
    </row>
    <row r="358" spans="1:8" ht="15" customHeight="1">
      <c r="A358" s="44"/>
      <c r="B358" s="46"/>
      <c r="C358" s="47"/>
      <c r="D358" s="50"/>
      <c r="E358" s="52"/>
      <c r="G358" s="119"/>
      <c r="H358" s="132"/>
    </row>
    <row r="359" spans="1:8" ht="15" customHeight="1">
      <c r="A359" s="44"/>
      <c r="B359" s="245"/>
      <c r="C359" s="246"/>
      <c r="D359" s="207"/>
      <c r="E359" s="49">
        <f>SUM(E361:E364)</f>
        <v>4.255999999999999</v>
      </c>
      <c r="G359" s="119"/>
      <c r="H359" s="132"/>
    </row>
    <row r="360" spans="1:18" ht="15" customHeight="1">
      <c r="A360" s="45" t="s">
        <v>5</v>
      </c>
      <c r="B360" s="283" t="s">
        <v>17</v>
      </c>
      <c r="C360" s="290"/>
      <c r="D360" s="200" t="s">
        <v>18</v>
      </c>
      <c r="E360" s="45" t="s">
        <v>7</v>
      </c>
      <c r="G360" s="121" t="str">
        <f>CONCATENATE("Cable Scrap, Lying at ",B361,". Quantity in MT - ")</f>
        <v>Cable Scrap, Lying at OL Barnala. Quantity in MT - </v>
      </c>
      <c r="H360" s="273" t="str">
        <f ca="1">CONCATENATE(G360,G361,(INDIRECT(I361)),(INDIRECT(J361)),(INDIRECT(K361)),(INDIRECT(L361)),(INDIRECT(M361)),(INDIRECT(N361)),(INDIRECT(O361)),(INDIRECT(P361)),(INDIRECT(Q361)),(INDIRECT(R361)),".")</f>
        <v>Cable Scrap, Lying at OL Barnala. Quantity in MT - 2/core PVC Alumn. Cable scrap - 0.488, 4/core PVC Alumn. Cable scrap - 0.928, 3/ core XLPE Alu cable scrap - 2.822, 1/ core XLPE Alu cable scrap - 0.018, .</v>
      </c>
      <c r="I360" s="128" t="str">
        <f aca="true" ca="1" t="array" ref="I360">CELL("address",INDEX(G360:G412,MATCH(TRUE,ISBLANK(G360:G412),0)))</f>
        <v>$G$365</v>
      </c>
      <c r="J360" s="128">
        <f aca="true" t="array" ref="J360">MATCH(TRUE,ISBLANK(G360:G412),0)</f>
        <v>6</v>
      </c>
      <c r="K360" s="128">
        <f>J360-3</f>
        <v>3</v>
      </c>
      <c r="L360" s="128"/>
      <c r="M360" s="128"/>
      <c r="N360" s="128"/>
      <c r="O360" s="128"/>
      <c r="P360" s="128"/>
      <c r="Q360" s="128"/>
      <c r="R360" s="128"/>
    </row>
    <row r="361" spans="1:18" ht="15" customHeight="1">
      <c r="A361" s="275" t="s">
        <v>248</v>
      </c>
      <c r="B361" s="275" t="s">
        <v>192</v>
      </c>
      <c r="C361" s="275"/>
      <c r="D361" s="50" t="s">
        <v>91</v>
      </c>
      <c r="E361" s="51">
        <v>0.488</v>
      </c>
      <c r="G361" s="119" t="str">
        <f>CONCATENATE(D361," - ",E361,", ")</f>
        <v>2/core PVC Alumn. Cable scrap - 0.488, </v>
      </c>
      <c r="H361" s="273"/>
      <c r="I361" s="128" t="str">
        <f ca="1">IF(J360&gt;=3,(MID(I360,2,1)&amp;MID(I360,4,3)-K360),CELL("address",Z361))</f>
        <v>G362</v>
      </c>
      <c r="J361" s="128" t="str">
        <f ca="1">IF(J360&gt;=4,(MID(I361,1,1)&amp;MID(I361,2,3)+1),CELL("address",AA361))</f>
        <v>G363</v>
      </c>
      <c r="K361" s="128" t="str">
        <f ca="1">IF(J360&gt;=5,(MID(J361,1,1)&amp;MID(J361,2,3)+1),CELL("address",AB361))</f>
        <v>G364</v>
      </c>
      <c r="L361" s="128" t="str">
        <f ca="1">IF(J360&gt;=6,(MID(K361,1,1)&amp;MID(K361,2,3)+1),CELL("address",AC361))</f>
        <v>G365</v>
      </c>
      <c r="M361" s="128" t="str">
        <f ca="1">IF(J360&gt;=7,(MID(L361,1,1)&amp;MID(L361,2,3)+1),CELL("address",AD361))</f>
        <v>$AD$361</v>
      </c>
      <c r="N361" s="128" t="str">
        <f ca="1">IF(J360&gt;=8,(MID(M361,1,1)&amp;MID(M361,2,3)+1),CELL("address",AE361))</f>
        <v>$AE$361</v>
      </c>
      <c r="O361" s="128" t="str">
        <f ca="1">IF(J360&gt;=9,(MID(N361,1,1)&amp;MID(N361,2,3)+1),CELL("address",AF361))</f>
        <v>$AF$361</v>
      </c>
      <c r="P361" s="128" t="str">
        <f ca="1">IF(J360&gt;=10,(MID(O361,1,1)&amp;MID(O361,2,3)+1),CELL("address",AG361))</f>
        <v>$AG$361</v>
      </c>
      <c r="Q361" s="128" t="str">
        <f ca="1">IF(J360&gt;=11,(MID(P361,1,1)&amp;MID(P361,2,3)+1),CELL("address",AH361))</f>
        <v>$AH$361</v>
      </c>
      <c r="R361" s="128" t="str">
        <f ca="1">IF(J360&gt;=12,(MID(Q361,1,1)&amp;MID(Q361,2,3)+1),CELL("address",AI361))</f>
        <v>$AI$361</v>
      </c>
    </row>
    <row r="362" spans="1:8" ht="15" customHeight="1">
      <c r="A362" s="275"/>
      <c r="B362" s="275"/>
      <c r="C362" s="275"/>
      <c r="D362" s="50" t="s">
        <v>92</v>
      </c>
      <c r="E362" s="51">
        <v>0.928</v>
      </c>
      <c r="G362" s="119" t="str">
        <f>CONCATENATE(D362," - ",E362,", ")</f>
        <v>4/core PVC Alumn. Cable scrap - 0.928, </v>
      </c>
      <c r="H362" s="132"/>
    </row>
    <row r="363" spans="1:8" ht="15" customHeight="1">
      <c r="A363" s="275"/>
      <c r="B363" s="275"/>
      <c r="C363" s="275"/>
      <c r="D363" s="50" t="s">
        <v>93</v>
      </c>
      <c r="E363" s="52">
        <v>2.822</v>
      </c>
      <c r="G363" s="119" t="str">
        <f>CONCATENATE(D363," - ",E363,", ")</f>
        <v>3/ core XLPE Alu cable scrap - 2.822, </v>
      </c>
      <c r="H363" s="132"/>
    </row>
    <row r="364" spans="1:8" ht="15" customHeight="1">
      <c r="A364" s="275"/>
      <c r="B364" s="275"/>
      <c r="C364" s="275"/>
      <c r="D364" s="50" t="s">
        <v>98</v>
      </c>
      <c r="E364" s="52">
        <v>0.018</v>
      </c>
      <c r="G364" s="119" t="str">
        <f>CONCATENATE(D364," - ",E364,", ")</f>
        <v>1/ core XLPE Alu cable scrap - 0.018, </v>
      </c>
      <c r="H364" s="132"/>
    </row>
    <row r="365" spans="1:8" ht="15" customHeight="1">
      <c r="A365" s="44"/>
      <c r="B365" s="154"/>
      <c r="C365" s="71"/>
      <c r="D365" s="155"/>
      <c r="E365" s="156"/>
      <c r="G365" s="119"/>
      <c r="H365" s="132"/>
    </row>
    <row r="366" spans="1:8" ht="15" customHeight="1">
      <c r="A366" s="44"/>
      <c r="B366" s="245"/>
      <c r="C366" s="246"/>
      <c r="D366" s="207"/>
      <c r="E366" s="49">
        <f>SUM(E368:E374)</f>
        <v>3.5669999999999997</v>
      </c>
      <c r="G366" s="119"/>
      <c r="H366" s="132"/>
    </row>
    <row r="367" spans="1:18" ht="15" customHeight="1">
      <c r="A367" s="85" t="s">
        <v>5</v>
      </c>
      <c r="B367" s="304" t="s">
        <v>17</v>
      </c>
      <c r="C367" s="305"/>
      <c r="D367" s="200" t="s">
        <v>18</v>
      </c>
      <c r="E367" s="45" t="s">
        <v>7</v>
      </c>
      <c r="G367" s="121" t="str">
        <f>CONCATENATE("Cable Scrap, Lying at ",B368,". Quantity in MT - ")</f>
        <v>Cable Scrap, Lying at CS Sangrur. Quantity in MT - </v>
      </c>
      <c r="H367" s="273" t="str">
        <f ca="1">CONCATENATE(G367,G368,(INDIRECT(I368)),(INDIRECT(J368)),(INDIRECT(K368)),(INDIRECT(L368)),(INDIRECT(M368)),(INDIRECT(N368)),(INDIRECT(O368)),(INDIRECT(P368)),(INDIRECT(Q368)),(INDIRECT(R368)),".")</f>
        <v>Cable Scrap, Lying at CS Sangrur. Quantity in MT - 2/core PVC Alumn. Cable scrap - 0.238, 4/core PVC Alumn. Cable scrap - 0.401, 3/ core XLPE Alu cable scrap - 2.212, Lead seal scrap with lash wire - 0.021, ABC cable scrap (70/95 mm) - 0.565, 1/core PVC Alumn. Cable scrap - 0.065, 1/ core XLPE Alu cable scrap - 0.065, .</v>
      </c>
      <c r="I367" s="128" t="str">
        <f aca="true" ca="1" t="array" ref="I367">CELL("address",INDEX(G367:G418,MATCH(TRUE,ISBLANK(G367:G418),0)))</f>
        <v>$G$375</v>
      </c>
      <c r="J367" s="128">
        <f aca="true" t="array" ref="J367">MATCH(TRUE,ISBLANK(G367:G418),0)</f>
        <v>9</v>
      </c>
      <c r="K367" s="128">
        <f>J367-3</f>
        <v>6</v>
      </c>
      <c r="L367" s="128"/>
      <c r="M367" s="128"/>
      <c r="N367" s="128"/>
      <c r="O367" s="128"/>
      <c r="P367" s="128"/>
      <c r="Q367" s="128"/>
      <c r="R367" s="128"/>
    </row>
    <row r="368" spans="1:18" ht="15" customHeight="1">
      <c r="A368" s="275" t="s">
        <v>213</v>
      </c>
      <c r="B368" s="275" t="s">
        <v>80</v>
      </c>
      <c r="C368" s="275"/>
      <c r="D368" s="99" t="s">
        <v>91</v>
      </c>
      <c r="E368" s="51">
        <v>0.238</v>
      </c>
      <c r="G368" s="119" t="str">
        <f aca="true" t="shared" si="2" ref="G368:G374">CONCATENATE(D368," - ",E368,", ")</f>
        <v>2/core PVC Alumn. Cable scrap - 0.238, </v>
      </c>
      <c r="H368" s="273"/>
      <c r="I368" s="128" t="str">
        <f ca="1">IF(J367&gt;=3,(MID(I367,2,1)&amp;MID(I367,4,3)-K367),CELL("address",Z368))</f>
        <v>G369</v>
      </c>
      <c r="J368" s="128" t="str">
        <f ca="1">IF(J367&gt;=4,(MID(I368,1,1)&amp;MID(I368,2,3)+1),CELL("address",AA368))</f>
        <v>G370</v>
      </c>
      <c r="K368" s="128" t="str">
        <f ca="1">IF(J367&gt;=5,(MID(J368,1,1)&amp;MID(J368,2,3)+1),CELL("address",AB368))</f>
        <v>G371</v>
      </c>
      <c r="L368" s="128" t="str">
        <f ca="1">IF(J367&gt;=6,(MID(K368,1,1)&amp;MID(K368,2,3)+1),CELL("address",AC368))</f>
        <v>G372</v>
      </c>
      <c r="M368" s="128" t="str">
        <f ca="1">IF(J367&gt;=7,(MID(L368,1,1)&amp;MID(L368,2,3)+1),CELL("address",AD368))</f>
        <v>G373</v>
      </c>
      <c r="N368" s="128" t="str">
        <f ca="1">IF(J367&gt;=8,(MID(M368,1,1)&amp;MID(M368,2,3)+1),CELL("address",AE368))</f>
        <v>G374</v>
      </c>
      <c r="O368" s="128" t="str">
        <f ca="1">IF(J367&gt;=9,(MID(N368,1,1)&amp;MID(N368,2,3)+1),CELL("address",AF368))</f>
        <v>G375</v>
      </c>
      <c r="P368" s="128" t="str">
        <f ca="1">IF(J367&gt;=10,(MID(O368,1,1)&amp;MID(O368,2,3)+1),CELL("address",AG368))</f>
        <v>$AG$368</v>
      </c>
      <c r="Q368" s="128" t="str">
        <f ca="1">IF(J367&gt;=11,(MID(P368,1,1)&amp;MID(P368,2,3)+1),CELL("address",AH368))</f>
        <v>$AH$368</v>
      </c>
      <c r="R368" s="128" t="str">
        <f ca="1">IF(J367&gt;=12,(MID(Q368,1,1)&amp;MID(Q368,2,3)+1),CELL("address",AI368))</f>
        <v>$AI$368</v>
      </c>
    </row>
    <row r="369" spans="1:8" ht="15" customHeight="1">
      <c r="A369" s="275"/>
      <c r="B369" s="275"/>
      <c r="C369" s="275"/>
      <c r="D369" s="99" t="s">
        <v>92</v>
      </c>
      <c r="E369" s="51">
        <v>0.401</v>
      </c>
      <c r="G369" s="119" t="str">
        <f t="shared" si="2"/>
        <v>4/core PVC Alumn. Cable scrap - 0.401, </v>
      </c>
      <c r="H369" s="132"/>
    </row>
    <row r="370" spans="1:8" ht="15" customHeight="1">
      <c r="A370" s="275"/>
      <c r="B370" s="275"/>
      <c r="C370" s="275"/>
      <c r="D370" s="99" t="s">
        <v>93</v>
      </c>
      <c r="E370" s="51">
        <v>2.212</v>
      </c>
      <c r="G370" s="119" t="str">
        <f t="shared" si="2"/>
        <v>3/ core XLPE Alu cable scrap - 2.212, </v>
      </c>
      <c r="H370" s="132"/>
    </row>
    <row r="371" spans="1:8" ht="15" customHeight="1">
      <c r="A371" s="275"/>
      <c r="B371" s="275"/>
      <c r="C371" s="275"/>
      <c r="D371" s="99" t="s">
        <v>190</v>
      </c>
      <c r="E371" s="50">
        <v>0.021</v>
      </c>
      <c r="G371" s="119" t="str">
        <f t="shared" si="2"/>
        <v>Lead seal scrap with lash wire - 0.021, </v>
      </c>
      <c r="H371" s="132"/>
    </row>
    <row r="372" spans="1:8" ht="15" customHeight="1">
      <c r="A372" s="275"/>
      <c r="B372" s="275"/>
      <c r="C372" s="275"/>
      <c r="D372" s="217" t="s">
        <v>170</v>
      </c>
      <c r="E372" s="52">
        <v>0.565</v>
      </c>
      <c r="G372" s="119" t="str">
        <f t="shared" si="2"/>
        <v>ABC cable scrap (70/95 mm) - 0.565, </v>
      </c>
      <c r="H372" s="132"/>
    </row>
    <row r="373" spans="1:8" ht="15" customHeight="1">
      <c r="A373" s="275"/>
      <c r="B373" s="275"/>
      <c r="C373" s="275"/>
      <c r="D373" s="99" t="s">
        <v>173</v>
      </c>
      <c r="E373" s="52">
        <v>0.065</v>
      </c>
      <c r="G373" s="119" t="str">
        <f t="shared" si="2"/>
        <v>1/core PVC Alumn. Cable scrap - 0.065, </v>
      </c>
      <c r="H373" s="132"/>
    </row>
    <row r="374" spans="1:8" ht="15" customHeight="1">
      <c r="A374" s="275"/>
      <c r="B374" s="275"/>
      <c r="C374" s="275"/>
      <c r="D374" s="99" t="s">
        <v>98</v>
      </c>
      <c r="E374" s="52">
        <v>0.065</v>
      </c>
      <c r="G374" s="119" t="str">
        <f t="shared" si="2"/>
        <v>1/ core XLPE Alu cable scrap - 0.065, </v>
      </c>
      <c r="H374" s="132"/>
    </row>
    <row r="375" spans="1:8" ht="15" customHeight="1">
      <c r="A375" s="55"/>
      <c r="B375" s="154"/>
      <c r="C375" s="71"/>
      <c r="D375" s="86"/>
      <c r="E375" s="52"/>
      <c r="G375" s="119"/>
      <c r="H375" s="132"/>
    </row>
    <row r="376" spans="1:8" ht="15" customHeight="1">
      <c r="A376" s="44"/>
      <c r="B376" s="245"/>
      <c r="C376" s="246"/>
      <c r="D376" s="207" t="s">
        <v>258</v>
      </c>
      <c r="E376" s="49">
        <f>SUM(E378:E381)</f>
        <v>1.0639999999999998</v>
      </c>
      <c r="G376" s="119"/>
      <c r="H376" s="132"/>
    </row>
    <row r="377" spans="1:18" ht="15" customHeight="1">
      <c r="A377" s="45" t="s">
        <v>5</v>
      </c>
      <c r="B377" s="283" t="s">
        <v>17</v>
      </c>
      <c r="C377" s="290"/>
      <c r="D377" s="200" t="s">
        <v>18</v>
      </c>
      <c r="E377" s="45" t="s">
        <v>7</v>
      </c>
      <c r="G377" s="121" t="str">
        <f>CONCATENATE("Cable Scrap, Lying at ",B378,". Quantity in MT - ")</f>
        <v>Cable Scrap, Lying at CS Mohali. Quantity in MT - </v>
      </c>
      <c r="H377" s="273" t="str">
        <f ca="1">CONCATENATE(G377,G378,(INDIRECT(I378)),(INDIRECT(J378)),(INDIRECT(K378)),(INDIRECT(L378)),(INDIRECT(M378)),(INDIRECT(N378)),(INDIRECT(O378)),(INDIRECT(P378)),(INDIRECT(Q378)),(INDIRECT(R378)),".")</f>
        <v>Cable Scrap, Lying at CS Mohali. Quantity in MT - 4/core PVC Alumn. Cable scrap - 0.649, 3/ core XLPE Alu cable scrap - 0.208, 1/core PVC Alumn. Cable scrap - 0.158, 2/core PVC Alumn. Cable scrap - 0.049, .</v>
      </c>
      <c r="I377" s="128" t="str">
        <f aca="true" ca="1" t="array" ref="I377">CELL("address",INDEX(G377:G422,MATCH(TRUE,ISBLANK(G377:G422),0)))</f>
        <v>$G$382</v>
      </c>
      <c r="J377" s="128">
        <f aca="true" t="array" ref="J377">MATCH(TRUE,ISBLANK(G377:G422),0)</f>
        <v>6</v>
      </c>
      <c r="K377" s="128">
        <f>J377-3</f>
        <v>3</v>
      </c>
      <c r="L377" s="128"/>
      <c r="M377" s="128"/>
      <c r="N377" s="128"/>
      <c r="O377" s="128"/>
      <c r="P377" s="128"/>
      <c r="Q377" s="128"/>
      <c r="R377" s="128"/>
    </row>
    <row r="378" spans="1:18" ht="15" customHeight="1">
      <c r="A378" s="275" t="s">
        <v>256</v>
      </c>
      <c r="B378" s="275" t="s">
        <v>63</v>
      </c>
      <c r="C378" s="275"/>
      <c r="D378" s="50" t="s">
        <v>92</v>
      </c>
      <c r="E378" s="45">
        <v>0.649</v>
      </c>
      <c r="G378" s="119" t="str">
        <f>CONCATENATE(D378," - ",E378,", ")</f>
        <v>4/core PVC Alumn. Cable scrap - 0.649, </v>
      </c>
      <c r="H378" s="273"/>
      <c r="I378" s="128" t="str">
        <f ca="1">IF(J377&gt;=3,(MID(I377,2,1)&amp;MID(I377,4,3)-K377),CELL("address",Z378))</f>
        <v>G379</v>
      </c>
      <c r="J378" s="128" t="str">
        <f ca="1">IF(J377&gt;=4,(MID(I378,1,1)&amp;MID(I378,2,3)+1),CELL("address",AA378))</f>
        <v>G380</v>
      </c>
      <c r="K378" s="128" t="str">
        <f ca="1">IF(J377&gt;=5,(MID(J378,1,1)&amp;MID(J378,2,3)+1),CELL("address",AB378))</f>
        <v>G381</v>
      </c>
      <c r="L378" s="128" t="str">
        <f ca="1">IF(J377&gt;=6,(MID(K378,1,1)&amp;MID(K378,2,3)+1),CELL("address",AC378))</f>
        <v>G382</v>
      </c>
      <c r="M378" s="128" t="str">
        <f ca="1">IF(J377&gt;=7,(MID(L378,1,1)&amp;MID(L378,2,3)+1),CELL("address",AD378))</f>
        <v>$AD$378</v>
      </c>
      <c r="N378" s="128" t="str">
        <f ca="1">IF(J377&gt;=8,(MID(M378,1,1)&amp;MID(M378,2,3)+1),CELL("address",AE378))</f>
        <v>$AE$378</v>
      </c>
      <c r="O378" s="128" t="str">
        <f ca="1">IF(J377&gt;=9,(MID(N378,1,1)&amp;MID(N378,2,3)+1),CELL("address",AF378))</f>
        <v>$AF$378</v>
      </c>
      <c r="P378" s="128" t="str">
        <f ca="1">IF(J377&gt;=10,(MID(O378,1,1)&amp;MID(O378,2,3)+1),CELL("address",AG378))</f>
        <v>$AG$378</v>
      </c>
      <c r="Q378" s="128" t="str">
        <f ca="1">IF(J377&gt;=11,(MID(P378,1,1)&amp;MID(P378,2,3)+1),CELL("address",AH378))</f>
        <v>$AH$378</v>
      </c>
      <c r="R378" s="128" t="str">
        <f ca="1">IF(J377&gt;=12,(MID(Q378,1,1)&amp;MID(Q378,2,3)+1),CELL("address",AI378))</f>
        <v>$AI$378</v>
      </c>
    </row>
    <row r="379" spans="1:8" ht="15" customHeight="1">
      <c r="A379" s="275"/>
      <c r="B379" s="275"/>
      <c r="C379" s="275"/>
      <c r="D379" s="50" t="s">
        <v>93</v>
      </c>
      <c r="E379" s="51">
        <v>0.208</v>
      </c>
      <c r="G379" s="119" t="str">
        <f>CONCATENATE(D379," - ",E379,", ")</f>
        <v>3/ core XLPE Alu cable scrap - 0.208, </v>
      </c>
      <c r="H379" s="132"/>
    </row>
    <row r="380" spans="1:8" ht="15" customHeight="1">
      <c r="A380" s="275"/>
      <c r="B380" s="275"/>
      <c r="C380" s="275"/>
      <c r="D380" s="50" t="s">
        <v>173</v>
      </c>
      <c r="E380" s="51">
        <v>0.158</v>
      </c>
      <c r="G380" s="119" t="str">
        <f>CONCATENATE(D380," - ",E380,", ")</f>
        <v>1/core PVC Alumn. Cable scrap - 0.158, </v>
      </c>
      <c r="H380" s="132"/>
    </row>
    <row r="381" spans="1:8" ht="15" customHeight="1">
      <c r="A381" s="275"/>
      <c r="B381" s="275"/>
      <c r="C381" s="275"/>
      <c r="D381" s="50" t="s">
        <v>91</v>
      </c>
      <c r="E381" s="51">
        <v>0.049</v>
      </c>
      <c r="G381" s="119" t="str">
        <f>CONCATENATE(D381," - ",E381,", ")</f>
        <v>2/core PVC Alumn. Cable scrap - 0.049, </v>
      </c>
      <c r="H381" s="132"/>
    </row>
    <row r="382" spans="1:8" ht="15" customHeight="1">
      <c r="A382" s="57"/>
      <c r="B382" s="60"/>
      <c r="C382" s="127"/>
      <c r="D382" s="38"/>
      <c r="E382" s="202"/>
      <c r="G382" s="119"/>
      <c r="H382" s="132"/>
    </row>
    <row r="383" spans="1:8" ht="15" customHeight="1">
      <c r="A383" s="45"/>
      <c r="B383" s="277"/>
      <c r="C383" s="278"/>
      <c r="D383" s="203"/>
      <c r="E383" s="58">
        <f>SUM(E385:E387)</f>
        <v>1.393</v>
      </c>
      <c r="G383" s="119"/>
      <c r="H383" s="132"/>
    </row>
    <row r="384" spans="1:18" ht="15" customHeight="1">
      <c r="A384" s="45" t="s">
        <v>5</v>
      </c>
      <c r="B384" s="275" t="s">
        <v>17</v>
      </c>
      <c r="C384" s="275"/>
      <c r="D384" s="199" t="s">
        <v>18</v>
      </c>
      <c r="E384" s="45" t="s">
        <v>7</v>
      </c>
      <c r="G384" s="121" t="str">
        <f>CONCATENATE("Cable Scrap, Lying at ",B385,". Quantity in MT - ")</f>
        <v>Cable Scrap, Lying at OL Fazilka. Quantity in MT - </v>
      </c>
      <c r="H384" s="273" t="str">
        <f ca="1">CONCATENATE(G384,G385,(INDIRECT(I385)),(INDIRECT(J385)),(INDIRECT(K385)),(INDIRECT(L385)),(INDIRECT(M385)),(INDIRECT(N385)),(INDIRECT(O385)),(INDIRECT(P385)),(INDIRECT(Q385)),(INDIRECT(R385)),".")</f>
        <v>Cable Scrap, Lying at OL Fazilka. Quantity in MT - 2/core PVC Alumn. Cable scrap - 0.078, 4/core PVC Alumn. Cable scrap - 0.371, 3/ core XLPE Alu cable scrap - 0.944, .</v>
      </c>
      <c r="I384" s="128" t="str">
        <f aca="true" ca="1" t="array" ref="I384">CELL("address",INDEX(G384:G428,MATCH(TRUE,ISBLANK(G384:G428),0)))</f>
        <v>$G$388</v>
      </c>
      <c r="J384" s="128">
        <f aca="true" t="array" ref="J384">MATCH(TRUE,ISBLANK(G384:G428),0)</f>
        <v>5</v>
      </c>
      <c r="K384" s="128">
        <f>J384-3</f>
        <v>2</v>
      </c>
      <c r="L384" s="128"/>
      <c r="M384" s="128"/>
      <c r="N384" s="128"/>
      <c r="O384" s="128"/>
      <c r="P384" s="128"/>
      <c r="Q384" s="128"/>
      <c r="R384" s="128"/>
    </row>
    <row r="385" spans="1:18" ht="15" customHeight="1">
      <c r="A385" s="275" t="s">
        <v>257</v>
      </c>
      <c r="B385" s="275" t="s">
        <v>114</v>
      </c>
      <c r="C385" s="275"/>
      <c r="D385" s="50" t="s">
        <v>91</v>
      </c>
      <c r="E385" s="51">
        <v>0.078</v>
      </c>
      <c r="G385" s="119" t="str">
        <f>CONCATENATE(D385," - ",E385,", ")</f>
        <v>2/core PVC Alumn. Cable scrap - 0.078, </v>
      </c>
      <c r="H385" s="273"/>
      <c r="I385" s="128" t="str">
        <f ca="1">IF(J384&gt;=3,(MID(I384,2,1)&amp;MID(I384,4,3)-K384),CELL("address",Z385))</f>
        <v>G386</v>
      </c>
      <c r="J385" s="128" t="str">
        <f ca="1">IF(J384&gt;=4,(MID(I385,1,1)&amp;MID(I385,2,3)+1),CELL("address",AA385))</f>
        <v>G387</v>
      </c>
      <c r="K385" s="128" t="str">
        <f ca="1">IF(J384&gt;=5,(MID(J385,1,1)&amp;MID(J385,2,3)+1),CELL("address",AB385))</f>
        <v>G388</v>
      </c>
      <c r="L385" s="128" t="str">
        <f ca="1">IF(J384&gt;=6,(MID(K385,1,1)&amp;MID(K385,2,3)+1),CELL("address",AC385))</f>
        <v>$AC$385</v>
      </c>
      <c r="M385" s="128" t="str">
        <f ca="1">IF(J384&gt;=7,(MID(L385,1,1)&amp;MID(L385,2,3)+1),CELL("address",AD385))</f>
        <v>$AD$385</v>
      </c>
      <c r="N385" s="128" t="str">
        <f ca="1">IF(J384&gt;=8,(MID(M385,1,1)&amp;MID(M385,2,3)+1),CELL("address",AE385))</f>
        <v>$AE$385</v>
      </c>
      <c r="O385" s="128" t="str">
        <f ca="1">IF(J384&gt;=9,(MID(N385,1,1)&amp;MID(N385,2,3)+1),CELL("address",AF385))</f>
        <v>$AF$385</v>
      </c>
      <c r="P385" s="128" t="str">
        <f ca="1">IF(J384&gt;=10,(MID(O385,1,1)&amp;MID(O385,2,3)+1),CELL("address",AG385))</f>
        <v>$AG$385</v>
      </c>
      <c r="Q385" s="128" t="str">
        <f ca="1">IF(J384&gt;=11,(MID(P385,1,1)&amp;MID(P385,2,3)+1),CELL("address",AH385))</f>
        <v>$AH$385</v>
      </c>
      <c r="R385" s="128" t="str">
        <f ca="1">IF(J384&gt;=12,(MID(Q385,1,1)&amp;MID(Q385,2,3)+1),CELL("address",AI385))</f>
        <v>$AI$385</v>
      </c>
    </row>
    <row r="386" spans="1:8" ht="15" customHeight="1">
      <c r="A386" s="275"/>
      <c r="B386" s="275"/>
      <c r="C386" s="275"/>
      <c r="D386" s="50" t="s">
        <v>92</v>
      </c>
      <c r="E386" s="51">
        <v>0.371</v>
      </c>
      <c r="G386" s="119" t="str">
        <f>CONCATENATE(D386," - ",E386,", ")</f>
        <v>4/core PVC Alumn. Cable scrap - 0.371, </v>
      </c>
      <c r="H386" s="132"/>
    </row>
    <row r="387" spans="1:8" ht="15" customHeight="1">
      <c r="A387" s="275"/>
      <c r="B387" s="275"/>
      <c r="C387" s="275"/>
      <c r="D387" s="99" t="s">
        <v>93</v>
      </c>
      <c r="E387" s="51">
        <v>0.944</v>
      </c>
      <c r="G387" s="119" t="str">
        <f>CONCATENATE(D387," - ",E387,", ")</f>
        <v>3/ core XLPE Alu cable scrap - 0.944, </v>
      </c>
      <c r="H387" s="132"/>
    </row>
    <row r="388" spans="1:8" ht="15" customHeight="1">
      <c r="A388" s="44"/>
      <c r="B388" s="46"/>
      <c r="C388" s="47"/>
      <c r="D388" s="50"/>
      <c r="E388" s="51"/>
      <c r="G388" s="119"/>
      <c r="H388" s="132"/>
    </row>
    <row r="389" spans="1:8" ht="15" customHeight="1">
      <c r="A389" s="55"/>
      <c r="B389" s="245"/>
      <c r="C389" s="246"/>
      <c r="D389" s="98"/>
      <c r="E389" s="56">
        <f>SUM(E391:E394)</f>
        <v>2.061</v>
      </c>
      <c r="G389" s="119"/>
      <c r="H389" s="132"/>
    </row>
    <row r="390" spans="1:18" ht="15" customHeight="1">
      <c r="A390" s="45" t="s">
        <v>5</v>
      </c>
      <c r="B390" s="283" t="s">
        <v>17</v>
      </c>
      <c r="C390" s="290"/>
      <c r="D390" s="200" t="s">
        <v>18</v>
      </c>
      <c r="E390" s="45" t="s">
        <v>7</v>
      </c>
      <c r="G390" s="121" t="str">
        <f>CONCATENATE("Cable Scrap, Lying at ",B391,". Quantity in MT - ")</f>
        <v>Cable Scrap, Lying at OL Malerkotla. Quantity in MT - </v>
      </c>
      <c r="H390" s="273" t="str">
        <f ca="1">CONCATENATE(G390,G391,(INDIRECT(I391)),(INDIRECT(J391)),(INDIRECT(K391)),(INDIRECT(L391)),(INDIRECT(M391)),(INDIRECT(N391)),(INDIRECT(O391)),(INDIRECT(P391)),(INDIRECT(Q391)),(INDIRECT(R391)),".")</f>
        <v>Cable Scrap, Lying at OL Malerkotla. Quantity in MT - 2/core PVC Alumn. Cable scrap - 0.297, 4/core PVC Alumn. Cable scrap - 0.547, 3/ core XLPE Alu cable scrap - 0.745, ABC cable scrap (70/95 mm) - 0.472, .</v>
      </c>
      <c r="I390" s="128" t="str">
        <f aca="true" ca="1" t="array" ref="I390">CELL("address",INDEX(G390:G428,MATCH(TRUE,ISBLANK(G390:G428),0)))</f>
        <v>$G$395</v>
      </c>
      <c r="J390" s="128">
        <f aca="true" t="array" ref="J390">MATCH(TRUE,ISBLANK(G390:G428),0)</f>
        <v>6</v>
      </c>
      <c r="K390" s="128">
        <f>J390-3</f>
        <v>3</v>
      </c>
      <c r="L390" s="128"/>
      <c r="M390" s="128"/>
      <c r="N390" s="128"/>
      <c r="O390" s="128"/>
      <c r="P390" s="128"/>
      <c r="Q390" s="128"/>
      <c r="R390" s="128"/>
    </row>
    <row r="391" spans="1:18" ht="15" customHeight="1">
      <c r="A391" s="275" t="s">
        <v>270</v>
      </c>
      <c r="B391" s="275" t="s">
        <v>128</v>
      </c>
      <c r="C391" s="275"/>
      <c r="D391" s="50" t="s">
        <v>91</v>
      </c>
      <c r="E391" s="45">
        <v>0.297</v>
      </c>
      <c r="G391" s="119" t="str">
        <f>CONCATENATE(D391," - ",E391,", ")</f>
        <v>2/core PVC Alumn. Cable scrap - 0.297, </v>
      </c>
      <c r="H391" s="273"/>
      <c r="I391" s="128" t="str">
        <f ca="1">IF(J390&gt;=3,(MID(I390,2,1)&amp;MID(I390,4,3)-K390),CELL("address",Z391))</f>
        <v>G392</v>
      </c>
      <c r="J391" s="128" t="str">
        <f ca="1">IF(J390&gt;=4,(MID(I391,1,1)&amp;MID(I391,2,3)+1),CELL("address",AA391))</f>
        <v>G393</v>
      </c>
      <c r="K391" s="128" t="str">
        <f ca="1">IF(J390&gt;=5,(MID(J391,1,1)&amp;MID(J391,2,3)+1),CELL("address",AB391))</f>
        <v>G394</v>
      </c>
      <c r="L391" s="128" t="str">
        <f ca="1">IF(J390&gt;=6,(MID(K391,1,1)&amp;MID(K391,2,3)+1),CELL("address",AC391))</f>
        <v>G395</v>
      </c>
      <c r="M391" s="128" t="str">
        <f ca="1">IF(J390&gt;=7,(MID(L391,1,1)&amp;MID(L391,2,3)+1),CELL("address",AD391))</f>
        <v>$AD$391</v>
      </c>
      <c r="N391" s="128" t="str">
        <f ca="1">IF(J390&gt;=8,(MID(M391,1,1)&amp;MID(M391,2,3)+1),CELL("address",AE391))</f>
        <v>$AE$391</v>
      </c>
      <c r="O391" s="128" t="str">
        <f ca="1">IF(J390&gt;=9,(MID(N391,1,1)&amp;MID(N391,2,3)+1),CELL("address",AF391))</f>
        <v>$AF$391</v>
      </c>
      <c r="P391" s="128" t="str">
        <f ca="1">IF(J390&gt;=10,(MID(O391,1,1)&amp;MID(O391,2,3)+1),CELL("address",AG391))</f>
        <v>$AG$391</v>
      </c>
      <c r="Q391" s="128" t="str">
        <f ca="1">IF(J390&gt;=11,(MID(P391,1,1)&amp;MID(P391,2,3)+1),CELL("address",AH391))</f>
        <v>$AH$391</v>
      </c>
      <c r="R391" s="128" t="str">
        <f ca="1">IF(J390&gt;=12,(MID(Q391,1,1)&amp;MID(Q391,2,3)+1),CELL("address",AI391))</f>
        <v>$AI$391</v>
      </c>
    </row>
    <row r="392" spans="1:8" ht="15" customHeight="1">
      <c r="A392" s="275"/>
      <c r="B392" s="275"/>
      <c r="C392" s="275"/>
      <c r="D392" s="50" t="s">
        <v>92</v>
      </c>
      <c r="E392" s="51">
        <v>0.547</v>
      </c>
      <c r="G392" s="119" t="str">
        <f>CONCATENATE(D392," - ",E392,", ")</f>
        <v>4/core PVC Alumn. Cable scrap - 0.547, </v>
      </c>
      <c r="H392" s="132"/>
    </row>
    <row r="393" spans="1:8" ht="15" customHeight="1">
      <c r="A393" s="275"/>
      <c r="B393" s="275"/>
      <c r="C393" s="275"/>
      <c r="D393" s="50" t="s">
        <v>93</v>
      </c>
      <c r="E393" s="51">
        <v>0.745</v>
      </c>
      <c r="G393" s="119" t="str">
        <f>CONCATENATE(D393," - ",E393,", ")</f>
        <v>3/ core XLPE Alu cable scrap - 0.745, </v>
      </c>
      <c r="H393" s="132"/>
    </row>
    <row r="394" spans="1:8" ht="15" customHeight="1">
      <c r="A394" s="275"/>
      <c r="B394" s="275"/>
      <c r="C394" s="275"/>
      <c r="D394" s="86" t="s">
        <v>170</v>
      </c>
      <c r="E394" s="87">
        <v>0.472</v>
      </c>
      <c r="G394" s="119" t="str">
        <f>CONCATENATE(D394," - ",E394,", ")</f>
        <v>ABC cable scrap (70/95 mm) - 0.472, </v>
      </c>
      <c r="H394" s="132"/>
    </row>
    <row r="395" spans="1:8" ht="15" customHeight="1">
      <c r="A395" s="44"/>
      <c r="B395" s="46"/>
      <c r="C395" s="47"/>
      <c r="D395" s="93"/>
      <c r="E395" s="94"/>
      <c r="G395" s="119"/>
      <c r="H395" s="132"/>
    </row>
    <row r="396" spans="1:8" ht="15" customHeight="1">
      <c r="A396" s="55"/>
      <c r="B396" s="245"/>
      <c r="C396" s="246"/>
      <c r="D396" s="98"/>
      <c r="E396" s="56">
        <f>SUM(E398:E401)</f>
        <v>4.893000000000001</v>
      </c>
      <c r="G396" s="119"/>
      <c r="H396" s="132"/>
    </row>
    <row r="397" spans="1:18" ht="15" customHeight="1">
      <c r="A397" s="45" t="s">
        <v>5</v>
      </c>
      <c r="B397" s="283" t="s">
        <v>17</v>
      </c>
      <c r="C397" s="290"/>
      <c r="D397" s="200" t="s">
        <v>18</v>
      </c>
      <c r="E397" s="45" t="s">
        <v>7</v>
      </c>
      <c r="G397" s="121" t="str">
        <f>CONCATENATE("Cable Scrap, Lying at ",B398,". Quantity in MT - ")</f>
        <v>Cable Scrap, Lying at OL Moga. Quantity in MT - </v>
      </c>
      <c r="H397" s="273" t="str">
        <f ca="1">CONCATENATE(G397,G398,(INDIRECT(I398)),(INDIRECT(J398)),(INDIRECT(K398)),(INDIRECT(L398)),(INDIRECT(M398)),(INDIRECT(N398)),(INDIRECT(O398)),(INDIRECT(P398)),(INDIRECT(Q398)),(INDIRECT(R398)),".")</f>
        <v>Cable Scrap, Lying at OL Moga. Quantity in MT - 2/core PVC Alumn. Cable scrap - 1.19, 4/core PVC Alumn. Cable scrap - 1.989, 1/ core XLPE Alu cable scrap - 0.239, 3/ core XLPE Alu cable scrap - 1.475, .</v>
      </c>
      <c r="I397" s="128" t="str">
        <f aca="true" ca="1" t="array" ref="I397">CELL("address",INDEX(G397:G434,MATCH(TRUE,ISBLANK(G397:G434),0)))</f>
        <v>$G$402</v>
      </c>
      <c r="J397" s="128">
        <f aca="true" t="array" ref="J397">MATCH(TRUE,ISBLANK(G397:G434),0)</f>
        <v>6</v>
      </c>
      <c r="K397" s="128">
        <f>J397-3</f>
        <v>3</v>
      </c>
      <c r="L397" s="128"/>
      <c r="M397" s="128"/>
      <c r="N397" s="128"/>
      <c r="O397" s="128"/>
      <c r="P397" s="128"/>
      <c r="Q397" s="128"/>
      <c r="R397" s="128"/>
    </row>
    <row r="398" spans="1:18" ht="15" customHeight="1">
      <c r="A398" s="275" t="s">
        <v>274</v>
      </c>
      <c r="B398" s="275" t="s">
        <v>275</v>
      </c>
      <c r="C398" s="275"/>
      <c r="D398" s="50" t="s">
        <v>91</v>
      </c>
      <c r="E398" s="45">
        <v>1.19</v>
      </c>
      <c r="F398" s="1">
        <v>1.131</v>
      </c>
      <c r="G398" s="119" t="str">
        <f>CONCATENATE(D398," - ",E398,", ")</f>
        <v>2/core PVC Alumn. Cable scrap - 1.19, </v>
      </c>
      <c r="H398" s="273"/>
      <c r="I398" s="128" t="str">
        <f ca="1">IF(J397&gt;=3,(MID(I397,2,1)&amp;MID(I397,4,3)-K397),CELL("address",Z398))</f>
        <v>G399</v>
      </c>
      <c r="J398" s="128" t="str">
        <f ca="1">IF(J397&gt;=4,(MID(I398,1,1)&amp;MID(I398,2,3)+1),CELL("address",AA398))</f>
        <v>G400</v>
      </c>
      <c r="K398" s="128" t="str">
        <f ca="1">IF(J397&gt;=5,(MID(J398,1,1)&amp;MID(J398,2,3)+1),CELL("address",AB398))</f>
        <v>G401</v>
      </c>
      <c r="L398" s="128" t="str">
        <f ca="1">IF(J397&gt;=6,(MID(K398,1,1)&amp;MID(K398,2,3)+1),CELL("address",AC398))</f>
        <v>G402</v>
      </c>
      <c r="M398" s="128" t="str">
        <f ca="1">IF(J397&gt;=7,(MID(L398,1,1)&amp;MID(L398,2,3)+1),CELL("address",AD398))</f>
        <v>$AD$398</v>
      </c>
      <c r="N398" s="128" t="str">
        <f ca="1">IF(J397&gt;=8,(MID(M398,1,1)&amp;MID(M398,2,3)+1),CELL("address",AE398))</f>
        <v>$AE$398</v>
      </c>
      <c r="O398" s="128" t="str">
        <f ca="1">IF(J397&gt;=9,(MID(N398,1,1)&amp;MID(N398,2,3)+1),CELL("address",AF398))</f>
        <v>$AF$398</v>
      </c>
      <c r="P398" s="128" t="str">
        <f ca="1">IF(J397&gt;=10,(MID(O398,1,1)&amp;MID(O398,2,3)+1),CELL("address",AG398))</f>
        <v>$AG$398</v>
      </c>
      <c r="Q398" s="128" t="str">
        <f ca="1">IF(J397&gt;=11,(MID(P398,1,1)&amp;MID(P398,2,3)+1),CELL("address",AH398))</f>
        <v>$AH$398</v>
      </c>
      <c r="R398" s="128" t="str">
        <f ca="1">IF(J397&gt;=12,(MID(Q398,1,1)&amp;MID(Q398,2,3)+1),CELL("address",AI398))</f>
        <v>$AI$398</v>
      </c>
    </row>
    <row r="399" spans="1:8" ht="15" customHeight="1">
      <c r="A399" s="275"/>
      <c r="B399" s="275"/>
      <c r="C399" s="275"/>
      <c r="D399" s="50" t="s">
        <v>92</v>
      </c>
      <c r="E399" s="51">
        <v>1.989</v>
      </c>
      <c r="F399" s="1">
        <v>1.778</v>
      </c>
      <c r="G399" s="119" t="str">
        <f>CONCATENATE(D399," - ",E399,", ")</f>
        <v>4/core PVC Alumn. Cable scrap - 1.989, </v>
      </c>
      <c r="H399" s="132"/>
    </row>
    <row r="400" spans="1:8" ht="15" customHeight="1">
      <c r="A400" s="275"/>
      <c r="B400" s="275"/>
      <c r="C400" s="275"/>
      <c r="D400" s="50" t="s">
        <v>98</v>
      </c>
      <c r="E400" s="51">
        <v>0.239</v>
      </c>
      <c r="F400" s="1">
        <v>0.215</v>
      </c>
      <c r="G400" s="119" t="str">
        <f>CONCATENATE(D400," - ",E400,", ")</f>
        <v>1/ core XLPE Alu cable scrap - 0.239, </v>
      </c>
      <c r="H400" s="132"/>
    </row>
    <row r="401" spans="1:8" ht="15" customHeight="1">
      <c r="A401" s="275"/>
      <c r="B401" s="275"/>
      <c r="C401" s="275"/>
      <c r="D401" s="50" t="s">
        <v>93</v>
      </c>
      <c r="E401" s="87">
        <v>1.475</v>
      </c>
      <c r="F401" s="1">
        <v>1.38</v>
      </c>
      <c r="G401" s="119" t="str">
        <f>CONCATENATE(D401," - ",E401,", ")</f>
        <v>3/ core XLPE Alu cable scrap - 1.475, </v>
      </c>
      <c r="H401" s="132"/>
    </row>
    <row r="402" spans="1:8" ht="15" customHeight="1">
      <c r="A402" s="44"/>
      <c r="B402" s="46"/>
      <c r="C402" s="47"/>
      <c r="D402" s="38"/>
      <c r="E402" s="94"/>
      <c r="G402" s="119"/>
      <c r="H402" s="132"/>
    </row>
    <row r="403" spans="1:8" ht="15" customHeight="1">
      <c r="A403" s="13" t="s">
        <v>13</v>
      </c>
      <c r="B403" s="14"/>
      <c r="C403" s="10"/>
      <c r="D403" s="38"/>
      <c r="E403" s="39"/>
      <c r="G403" s="119"/>
      <c r="H403" s="132"/>
    </row>
    <row r="404" spans="1:8" ht="15" customHeight="1">
      <c r="A404" s="59"/>
      <c r="B404" s="60"/>
      <c r="C404" s="61"/>
      <c r="D404" s="61"/>
      <c r="E404" s="62">
        <f>SUM(E406:E407)</f>
        <v>22.312</v>
      </c>
      <c r="F404" s="198">
        <f>E420+E436+E440+E456</f>
        <v>227.652</v>
      </c>
      <c r="G404" s="119"/>
      <c r="H404" s="132"/>
    </row>
    <row r="405" spans="1:18" ht="15" customHeight="1">
      <c r="A405" s="275" t="s">
        <v>5</v>
      </c>
      <c r="B405" s="275"/>
      <c r="C405" s="63" t="s">
        <v>17</v>
      </c>
      <c r="D405" s="199" t="s">
        <v>18</v>
      </c>
      <c r="E405" s="45" t="s">
        <v>7</v>
      </c>
      <c r="G405" s="121" t="str">
        <f>CONCATENATE("Misc. Iron Scrap, Lying at ",C406,". Quantity in MT - ")</f>
        <v>Misc. Iron Scrap, Lying at Pilot W/Shop Sri Muktsar Sahib. Quantity in MT - </v>
      </c>
      <c r="H405" s="273" t="str">
        <f ca="1">CONCATENATE(G405,G406,(INDIRECT(I406)),(INDIRECT(J406)),(INDIRECT(K406)),(INDIRECT(L406)),(INDIRECT(M406)),(INDIRECT(N406)),(INDIRECT(O406)),(INDIRECT(P406)),(INDIRECT(Q406)),(INDIRECT(R406)),".")</f>
        <v>Misc. Iron Scrap, Lying at Pilot W/Shop Sri Muktsar Sahib. Quantity in MT - MS iron scrap / GI scrap - 10.182, HT wire scrap off size - 12.13, .</v>
      </c>
      <c r="I405" s="128" t="str">
        <f aca="true" ca="1" t="array" ref="I405">CELL("address",INDEX(G405:G423,MATCH(TRUE,ISBLANK(G405:G423),0)))</f>
        <v>$G$408</v>
      </c>
      <c r="J405" s="128">
        <f aca="true" t="array" ref="J405">MATCH(TRUE,ISBLANK(G405:G423),0)</f>
        <v>4</v>
      </c>
      <c r="K405" s="128">
        <f>J405-3</f>
        <v>1</v>
      </c>
      <c r="L405" s="128"/>
      <c r="M405" s="128"/>
      <c r="N405" s="128"/>
      <c r="O405" s="128"/>
      <c r="P405" s="128"/>
      <c r="Q405" s="128"/>
      <c r="R405" s="128"/>
    </row>
    <row r="406" spans="1:18" ht="15" customHeight="1">
      <c r="A406" s="304" t="s">
        <v>21</v>
      </c>
      <c r="B406" s="306"/>
      <c r="C406" s="274" t="s">
        <v>19</v>
      </c>
      <c r="D406" s="45" t="s">
        <v>20</v>
      </c>
      <c r="E406" s="51">
        <v>10.182</v>
      </c>
      <c r="G406" s="119" t="str">
        <f>CONCATENATE(D406," - ",E406,", ")</f>
        <v>MS iron scrap / GI scrap - 10.182, </v>
      </c>
      <c r="H406" s="273"/>
      <c r="I406" s="128" t="str">
        <f ca="1">IF(J405&gt;=3,(MID(I405,2,1)&amp;MID(I405,4,3)-K405),CELL("address",Z406))</f>
        <v>G407</v>
      </c>
      <c r="J406" s="128" t="str">
        <f ca="1">IF(J405&gt;=4,(MID(I406,1,1)&amp;MID(I406,2,3)+1),CELL("address",AA406))</f>
        <v>G408</v>
      </c>
      <c r="K406" s="128" t="str">
        <f ca="1">IF(J405&gt;=5,(MID(J406,1,1)&amp;MID(J406,2,3)+1),CELL("address",AB406))</f>
        <v>$AB$406</v>
      </c>
      <c r="L406" s="128" t="str">
        <f ca="1">IF(J405&gt;=6,(MID(K406,1,1)&amp;MID(K406,2,3)+1),CELL("address",AC406))</f>
        <v>$AC$406</v>
      </c>
      <c r="M406" s="128" t="str">
        <f ca="1">IF(J405&gt;=7,(MID(L406,1,1)&amp;MID(L406,2,3)+1),CELL("address",AD406))</f>
        <v>$AD$406</v>
      </c>
      <c r="N406" s="128" t="str">
        <f ca="1">IF(J405&gt;=8,(MID(M406,1,1)&amp;MID(M406,2,3)+1),CELL("address",AE406))</f>
        <v>$AE$406</v>
      </c>
      <c r="O406" s="128" t="str">
        <f ca="1">IF(J405&gt;=9,(MID(N406,1,1)&amp;MID(N406,2,3)+1),CELL("address",AF406))</f>
        <v>$AF$406</v>
      </c>
      <c r="P406" s="128" t="str">
        <f ca="1">IF(J405&gt;=10,(MID(O406,1,1)&amp;MID(O406,2,3)+1),CELL("address",AG406))</f>
        <v>$AG$406</v>
      </c>
      <c r="Q406" s="128" t="str">
        <f ca="1">IF(J405&gt;=11,(MID(P406,1,1)&amp;MID(P406,2,3)+1),CELL("address",AH406))</f>
        <v>$AH$406</v>
      </c>
      <c r="R406" s="128" t="str">
        <f ca="1">IF(J405&gt;=12,(MID(Q406,1,1)&amp;MID(Q406,2,3)+1),CELL("address",AI406))</f>
        <v>$AI$406</v>
      </c>
    </row>
    <row r="407" spans="1:8" ht="15" customHeight="1">
      <c r="A407" s="307"/>
      <c r="B407" s="308"/>
      <c r="C407" s="367"/>
      <c r="D407" s="45" t="s">
        <v>72</v>
      </c>
      <c r="E407" s="51">
        <v>12.13</v>
      </c>
      <c r="G407" s="119" t="str">
        <f>CONCATENATE(D407," - ",E407,", ")</f>
        <v>HT wire scrap off size - 12.13, </v>
      </c>
      <c r="H407" s="132"/>
    </row>
    <row r="408" spans="1:8" ht="15" customHeight="1">
      <c r="A408" s="44"/>
      <c r="B408" s="46"/>
      <c r="C408" s="53"/>
      <c r="D408" s="43"/>
      <c r="E408" s="64"/>
      <c r="G408" s="119"/>
      <c r="H408" s="132"/>
    </row>
    <row r="409" spans="1:8" ht="15" customHeight="1">
      <c r="A409" s="59"/>
      <c r="B409" s="60"/>
      <c r="C409" s="61"/>
      <c r="D409" s="61"/>
      <c r="E409" s="62">
        <f>SUM(E411:E412)</f>
        <v>19.325</v>
      </c>
      <c r="G409" s="119"/>
      <c r="H409" s="132"/>
    </row>
    <row r="410" spans="1:18" ht="15" customHeight="1">
      <c r="A410" s="275" t="s">
        <v>5</v>
      </c>
      <c r="B410" s="275"/>
      <c r="C410" s="63" t="s">
        <v>17</v>
      </c>
      <c r="D410" s="199" t="s">
        <v>18</v>
      </c>
      <c r="E410" s="45" t="s">
        <v>7</v>
      </c>
      <c r="G410" s="121" t="str">
        <f>CONCATENATE("Misc. Iron Scrap, Lying at ",C411,". Quantity in MT - ")</f>
        <v>Misc. Iron Scrap, Lying at Pilot Workshop Mohali. Quantity in MT - </v>
      </c>
      <c r="H410" s="273" t="str">
        <f ca="1">CONCATENATE(G410,G411,(INDIRECT(I411)),(INDIRECT(J411)),(INDIRECT(K411)),(INDIRECT(L411)),(INDIRECT(M411)),(INDIRECT(N411)),(INDIRECT(O411)),(INDIRECT(P411)),(INDIRECT(Q411)),(INDIRECT(R411)),".")</f>
        <v>Misc. Iron Scrap, Lying at Pilot Workshop Mohali. Quantity in MT - HT Wire scrap &amp; other intermingled iron scrap - 14, MS iron scrap ( MS sections, scrapped T&amp;P etc) - 5.325, .</v>
      </c>
      <c r="I410" s="128" t="str">
        <f aca="true" ca="1" t="array" ref="I410">CELL("address",INDEX(G410:G428,MATCH(TRUE,ISBLANK(G410:G428),0)))</f>
        <v>$G$413</v>
      </c>
      <c r="J410" s="128">
        <f aca="true" t="array" ref="J410">MATCH(TRUE,ISBLANK(G410:G428),0)</f>
        <v>4</v>
      </c>
      <c r="K410" s="128">
        <f>J410-3</f>
        <v>1</v>
      </c>
      <c r="L410" s="128"/>
      <c r="M410" s="128"/>
      <c r="N410" s="128"/>
      <c r="O410" s="128"/>
      <c r="P410" s="128"/>
      <c r="Q410" s="128"/>
      <c r="R410" s="128"/>
    </row>
    <row r="411" spans="1:18" ht="15" customHeight="1">
      <c r="A411" s="275" t="s">
        <v>30</v>
      </c>
      <c r="B411" s="275"/>
      <c r="C411" s="274" t="s">
        <v>55</v>
      </c>
      <c r="D411" s="47" t="s">
        <v>56</v>
      </c>
      <c r="E411" s="51">
        <v>14</v>
      </c>
      <c r="G411" s="119" t="str">
        <f>CONCATENATE(D411," - ",E411,", ")</f>
        <v>HT Wire scrap &amp; other intermingled iron scrap - 14, </v>
      </c>
      <c r="H411" s="273"/>
      <c r="I411" s="128" t="str">
        <f ca="1">IF(J410&gt;=3,(MID(I410,2,1)&amp;MID(I410,4,3)-K410),CELL("address",Z411))</f>
        <v>G412</v>
      </c>
      <c r="J411" s="128" t="str">
        <f ca="1">IF(J410&gt;=4,(MID(I411,1,1)&amp;MID(I411,2,3)+1),CELL("address",AA411))</f>
        <v>G413</v>
      </c>
      <c r="K411" s="128" t="str">
        <f ca="1">IF(J410&gt;=5,(MID(J411,1,1)&amp;MID(J411,2,3)+1),CELL("address",AB411))</f>
        <v>$AB$411</v>
      </c>
      <c r="L411" s="128" t="str">
        <f ca="1">IF(J410&gt;=6,(MID(K411,1,1)&amp;MID(K411,2,3)+1),CELL("address",AC411))</f>
        <v>$AC$411</v>
      </c>
      <c r="M411" s="128" t="str">
        <f ca="1">IF(J410&gt;=7,(MID(L411,1,1)&amp;MID(L411,2,3)+1),CELL("address",AD411))</f>
        <v>$AD$411</v>
      </c>
      <c r="N411" s="128" t="str">
        <f ca="1">IF(J410&gt;=8,(MID(M411,1,1)&amp;MID(M411,2,3)+1),CELL("address",AE411))</f>
        <v>$AE$411</v>
      </c>
      <c r="O411" s="128" t="str">
        <f ca="1">IF(J410&gt;=9,(MID(N411,1,1)&amp;MID(N411,2,3)+1),CELL("address",AF411))</f>
        <v>$AF$411</v>
      </c>
      <c r="P411" s="128" t="str">
        <f ca="1">IF(J410&gt;=10,(MID(O411,1,1)&amp;MID(O411,2,3)+1),CELL("address",AG411))</f>
        <v>$AG$411</v>
      </c>
      <c r="Q411" s="128" t="str">
        <f ca="1">IF(J410&gt;=11,(MID(P411,1,1)&amp;MID(P411,2,3)+1),CELL("address",AH411))</f>
        <v>$AH$411</v>
      </c>
      <c r="R411" s="128" t="str">
        <f ca="1">IF(J410&gt;=12,(MID(Q411,1,1)&amp;MID(Q411,2,3)+1),CELL("address",AI411))</f>
        <v>$AI$411</v>
      </c>
    </row>
    <row r="412" spans="1:8" ht="15" customHeight="1">
      <c r="A412" s="275"/>
      <c r="B412" s="275"/>
      <c r="C412" s="274"/>
      <c r="D412" s="91" t="s">
        <v>57</v>
      </c>
      <c r="E412" s="51">
        <v>5.325</v>
      </c>
      <c r="G412" s="119" t="str">
        <f>CONCATENATE(D412," - ",E412,", ")</f>
        <v>MS iron scrap ( MS sections, scrapped T&amp;P etc) - 5.325, </v>
      </c>
      <c r="H412" s="132"/>
    </row>
    <row r="413" spans="1:8" ht="15" customHeight="1">
      <c r="A413" s="44"/>
      <c r="B413" s="46"/>
      <c r="C413" s="53"/>
      <c r="D413" s="43"/>
      <c r="E413" s="64"/>
      <c r="G413" s="119"/>
      <c r="H413" s="132"/>
    </row>
    <row r="414" spans="1:8" ht="15" customHeight="1">
      <c r="A414" s="59"/>
      <c r="B414" s="60"/>
      <c r="C414" s="60"/>
      <c r="D414" s="61"/>
      <c r="E414" s="65">
        <f>SUM(E416:E416)</f>
        <v>26687</v>
      </c>
      <c r="G414" s="119"/>
      <c r="H414" s="132"/>
    </row>
    <row r="415" spans="1:18" ht="15" customHeight="1">
      <c r="A415" s="275" t="s">
        <v>5</v>
      </c>
      <c r="B415" s="275"/>
      <c r="C415" s="45" t="s">
        <v>17</v>
      </c>
      <c r="D415" s="199" t="s">
        <v>18</v>
      </c>
      <c r="E415" s="45" t="s">
        <v>70</v>
      </c>
      <c r="G415" s="121" t="str">
        <f>CONCATENATE("Misc. Iron Scrap, Lying at ",C416,". Quantity in No - ")</f>
        <v>Misc. Iron Scrap, Lying at S &amp; T Store Bathinda. Quantity in No - </v>
      </c>
      <c r="H415" s="273" t="str">
        <f ca="1">CONCATENATE(G415,G416,(INDIRECT(I416)),(INDIRECT(J416)),(INDIRECT(K416)),(INDIRECT(L416)),(INDIRECT(M416)),(INDIRECT(N416)),(INDIRECT(O416)),(INDIRECT(P416)),(INDIRECT(Q416)),(INDIRECT(R416)),".")</f>
        <v>Misc. Iron Scrap, Lying at S &amp; T Store Bathinda. Quantity in No - Disc Insulator Scrap - 26687, .</v>
      </c>
      <c r="I415" s="128" t="str">
        <f aca="true" ca="1" t="array" ref="I415">CELL("address",INDEX(G415:G430,MATCH(TRUE,ISBLANK(G415:G430),0)))</f>
        <v>$G$417</v>
      </c>
      <c r="J415" s="128">
        <f aca="true" t="array" ref="J415">MATCH(TRUE,ISBLANK(G415:G430),0)</f>
        <v>3</v>
      </c>
      <c r="K415" s="128">
        <f>J415-3</f>
        <v>0</v>
      </c>
      <c r="L415" s="128"/>
      <c r="M415" s="128"/>
      <c r="N415" s="128"/>
      <c r="O415" s="128"/>
      <c r="P415" s="128"/>
      <c r="Q415" s="128"/>
      <c r="R415" s="128"/>
    </row>
    <row r="416" spans="1:18" ht="15" customHeight="1">
      <c r="A416" s="304" t="s">
        <v>33</v>
      </c>
      <c r="B416" s="305"/>
      <c r="C416" s="205" t="s">
        <v>58</v>
      </c>
      <c r="D416" s="45" t="s">
        <v>71</v>
      </c>
      <c r="E416" s="66">
        <v>26687</v>
      </c>
      <c r="G416" s="119" t="str">
        <f>CONCATENATE(D416," - ",E416,", ")</f>
        <v>Disc Insulator Scrap - 26687, </v>
      </c>
      <c r="H416" s="273"/>
      <c r="I416" s="128" t="str">
        <f ca="1">IF(J415&gt;=3,(MID(I415,2,1)&amp;MID(I415,4,3)-K415),CELL("address",Z416))</f>
        <v>G417</v>
      </c>
      <c r="J416" s="128" t="str">
        <f ca="1">IF(J415&gt;=4,(MID(I416,1,1)&amp;MID(I416,2,3)+1),CELL("address",AA416))</f>
        <v>$AA$416</v>
      </c>
      <c r="K416" s="128" t="str">
        <f ca="1">IF(J415&gt;=5,(MID(J416,1,1)&amp;MID(J416,2,3)+1),CELL("address",AB416))</f>
        <v>$AB$416</v>
      </c>
      <c r="L416" s="128" t="str">
        <f ca="1">IF(J415&gt;=6,(MID(K416,1,1)&amp;MID(K416,2,3)+1),CELL("address",AC416))</f>
        <v>$AC$416</v>
      </c>
      <c r="M416" s="128" t="str">
        <f ca="1">IF(J415&gt;=7,(MID(L416,1,1)&amp;MID(L416,2,3)+1),CELL("address",AD416))</f>
        <v>$AD$416</v>
      </c>
      <c r="N416" s="128" t="str">
        <f ca="1">IF(J415&gt;=8,(MID(M416,1,1)&amp;MID(M416,2,3)+1),CELL("address",AE416))</f>
        <v>$AE$416</v>
      </c>
      <c r="O416" s="128" t="str">
        <f ca="1">IF(J415&gt;=9,(MID(N416,1,1)&amp;MID(N416,2,3)+1),CELL("address",AF416))</f>
        <v>$AF$416</v>
      </c>
      <c r="P416" s="128" t="str">
        <f ca="1">IF(J415&gt;=10,(MID(O416,1,1)&amp;MID(O416,2,3)+1),CELL("address",AG416))</f>
        <v>$AG$416</v>
      </c>
      <c r="Q416" s="128" t="str">
        <f ca="1">IF(J415&gt;=11,(MID(P416,1,1)&amp;MID(P416,2,3)+1),CELL("address",AH416))</f>
        <v>$AH$416</v>
      </c>
      <c r="R416" s="128" t="str">
        <f ca="1">IF(J415&gt;=12,(MID(Q416,1,1)&amp;MID(Q416,2,3)+1),CELL("address",AI416))</f>
        <v>$AI$416</v>
      </c>
    </row>
    <row r="417" spans="1:8" ht="15" customHeight="1">
      <c r="A417" s="44"/>
      <c r="B417" s="47"/>
      <c r="C417" s="199"/>
      <c r="D417" s="45"/>
      <c r="E417" s="67"/>
      <c r="G417" s="119"/>
      <c r="H417" s="132"/>
    </row>
    <row r="418" spans="1:8" ht="15" customHeight="1">
      <c r="A418" s="59"/>
      <c r="B418" s="60"/>
      <c r="C418" s="60"/>
      <c r="D418" s="61"/>
      <c r="E418" s="62">
        <f>SUM(E420:E421)</f>
        <v>128.268</v>
      </c>
      <c r="G418" s="119"/>
      <c r="H418" s="132"/>
    </row>
    <row r="419" spans="1:18" ht="15" customHeight="1">
      <c r="A419" s="275" t="s">
        <v>5</v>
      </c>
      <c r="B419" s="275"/>
      <c r="C419" s="45" t="s">
        <v>17</v>
      </c>
      <c r="D419" s="199" t="s">
        <v>18</v>
      </c>
      <c r="E419" s="45" t="s">
        <v>7</v>
      </c>
      <c r="G419" s="121" t="str">
        <f>CONCATENATE("Misc. Iron Scrap, Lying at ",C420,". Quantity in MT - ")</f>
        <v>Misc. Iron Scrap, Lying at S &amp; T Store Bathinda. Quantity in MT - </v>
      </c>
      <c r="H419" s="273" t="str">
        <f ca="1">CONCATENATE(G419,G420,(INDIRECT(I420)),(INDIRECT(J420)),(INDIRECT(K420)),(INDIRECT(L420)),(INDIRECT(M420)),(INDIRECT(N420)),(INDIRECT(O420)),(INDIRECT(P420)),(INDIRECT(Q420)),(INDIRECT(R420)),".")</f>
        <v>Misc. Iron Scrap, Lying at S &amp; T Store Bathinda. Quantity in MT - MS Rail scrap - 123.916, Earthwire GSL scrap - 4.352, .</v>
      </c>
      <c r="I419" s="128" t="str">
        <f aca="true" ca="1" t="array" ref="I419">CELL("address",INDEX(G419:G435,MATCH(TRUE,ISBLANK(G419:G435),0)))</f>
        <v>$G$422</v>
      </c>
      <c r="J419" s="128">
        <f aca="true" t="array" ref="J419">MATCH(TRUE,ISBLANK(G419:G435),0)</f>
        <v>4</v>
      </c>
      <c r="K419" s="128">
        <f>J419-3</f>
        <v>1</v>
      </c>
      <c r="L419" s="128"/>
      <c r="M419" s="128"/>
      <c r="N419" s="128"/>
      <c r="O419" s="128"/>
      <c r="P419" s="128"/>
      <c r="Q419" s="128"/>
      <c r="R419" s="128"/>
    </row>
    <row r="420" spans="1:18" ht="15" customHeight="1">
      <c r="A420" s="275" t="s">
        <v>51</v>
      </c>
      <c r="B420" s="275"/>
      <c r="C420" s="274" t="s">
        <v>58</v>
      </c>
      <c r="D420" s="45" t="s">
        <v>62</v>
      </c>
      <c r="E420" s="51">
        <v>123.916</v>
      </c>
      <c r="G420" s="119" t="str">
        <f>CONCATENATE(D420," - ",E420,", ")</f>
        <v>MS Rail scrap - 123.916, </v>
      </c>
      <c r="H420" s="273"/>
      <c r="I420" s="128" t="str">
        <f ca="1">IF(J419&gt;=3,(MID(I419,2,1)&amp;MID(I419,4,3)-K419),CELL("address",Z420))</f>
        <v>G421</v>
      </c>
      <c r="J420" s="128" t="str">
        <f ca="1">IF(J419&gt;=4,(MID(I420,1,1)&amp;MID(I420,2,3)+1),CELL("address",AA420))</f>
        <v>G422</v>
      </c>
      <c r="K420" s="128" t="str">
        <f ca="1">IF(J419&gt;=5,(MID(J420,1,1)&amp;MID(J420,2,3)+1),CELL("address",AB420))</f>
        <v>$AB$420</v>
      </c>
      <c r="L420" s="128" t="str">
        <f ca="1">IF(J419&gt;=6,(MID(K420,1,1)&amp;MID(K420,2,3)+1),CELL("address",AC420))</f>
        <v>$AC$420</v>
      </c>
      <c r="M420" s="128" t="str">
        <f ca="1">IF(J419&gt;=7,(MID(L420,1,1)&amp;MID(L420,2,3)+1),CELL("address",AD420))</f>
        <v>$AD$420</v>
      </c>
      <c r="N420" s="128" t="str">
        <f ca="1">IF(J419&gt;=8,(MID(M420,1,1)&amp;MID(M420,2,3)+1),CELL("address",AE420))</f>
        <v>$AE$420</v>
      </c>
      <c r="O420" s="128" t="str">
        <f ca="1">IF(J419&gt;=9,(MID(N420,1,1)&amp;MID(N420,2,3)+1),CELL("address",AF420))</f>
        <v>$AF$420</v>
      </c>
      <c r="P420" s="128" t="str">
        <f ca="1">IF(J419&gt;=10,(MID(O420,1,1)&amp;MID(O420,2,3)+1),CELL("address",AG420))</f>
        <v>$AG$420</v>
      </c>
      <c r="Q420" s="128" t="str">
        <f ca="1">IF(J419&gt;=11,(MID(P420,1,1)&amp;MID(P420,2,3)+1),CELL("address",AH420))</f>
        <v>$AH$420</v>
      </c>
      <c r="R420" s="128" t="str">
        <f ca="1">IF(J419&gt;=12,(MID(Q420,1,1)&amp;MID(Q420,2,3)+1),CELL("address",AI420))</f>
        <v>$AI$420</v>
      </c>
    </row>
    <row r="421" spans="1:8" ht="15" customHeight="1">
      <c r="A421" s="275"/>
      <c r="B421" s="275"/>
      <c r="C421" s="274"/>
      <c r="D421" s="45" t="s">
        <v>144</v>
      </c>
      <c r="E421" s="51">
        <v>4.352</v>
      </c>
      <c r="G421" s="119" t="str">
        <f>CONCATENATE(D421," - ",E421,", ")</f>
        <v>Earthwire GSL scrap - 4.352, </v>
      </c>
      <c r="H421" s="132"/>
    </row>
    <row r="422" spans="1:8" ht="15" customHeight="1">
      <c r="A422" s="44"/>
      <c r="B422" s="46"/>
      <c r="C422" s="53"/>
      <c r="D422" s="46"/>
      <c r="E422" s="68"/>
      <c r="G422" s="119"/>
      <c r="H422" s="132"/>
    </row>
    <row r="423" spans="1:8" ht="15" customHeight="1">
      <c r="A423" s="59"/>
      <c r="B423" s="60"/>
      <c r="C423" s="60"/>
      <c r="D423" s="63"/>
      <c r="E423" s="58">
        <f>SUM(E425:E427)</f>
        <v>2.7449999999999997</v>
      </c>
      <c r="G423" s="119"/>
      <c r="H423" s="132"/>
    </row>
    <row r="424" spans="1:18" ht="15" customHeight="1">
      <c r="A424" s="275" t="s">
        <v>5</v>
      </c>
      <c r="B424" s="275"/>
      <c r="C424" s="45" t="s">
        <v>17</v>
      </c>
      <c r="D424" s="199" t="s">
        <v>18</v>
      </c>
      <c r="E424" s="45" t="s">
        <v>7</v>
      </c>
      <c r="G424" s="121" t="str">
        <f>CONCATENATE("Misc. Iron Scrap, Lying at ",C425,". Quantity in MT - ")</f>
        <v>Misc. Iron Scrap, Lying at CS Ferozepur. Quantity in MT - </v>
      </c>
      <c r="H424" s="273" t="str">
        <f ca="1">CONCATENATE(G424,G425,(INDIRECT(I425)),(INDIRECT(J425)),(INDIRECT(K425)),(INDIRECT(L425)),(INDIRECT(M425)),(INDIRECT(N425)),(INDIRECT(O425)),(INDIRECT(P425)),(INDIRECT(Q425)),(INDIRECT(R425)),".")</f>
        <v>Misc. Iron Scrap, Lying at CS Ferozepur. Quantity in MT - MS iron scrap - 2.379, Teen Patra scrap - 0.32, G.I. Scrap - 0.046, .</v>
      </c>
      <c r="I424" s="128" t="str">
        <f aca="true" ca="1" t="array" ref="I424">CELL("address",INDEX(G424:G437,MATCH(TRUE,ISBLANK(G424:G437),0)))</f>
        <v>$G$428</v>
      </c>
      <c r="J424" s="128">
        <f aca="true" t="array" ref="J424">MATCH(TRUE,ISBLANK(G424:G437),0)</f>
        <v>5</v>
      </c>
      <c r="K424" s="128">
        <f>J424-3</f>
        <v>2</v>
      </c>
      <c r="L424" s="128"/>
      <c r="M424" s="128"/>
      <c r="N424" s="128"/>
      <c r="O424" s="128"/>
      <c r="P424" s="128"/>
      <c r="Q424" s="128"/>
      <c r="R424" s="128"/>
    </row>
    <row r="425" spans="1:18" ht="15" customHeight="1">
      <c r="A425" s="275" t="s">
        <v>66</v>
      </c>
      <c r="B425" s="275"/>
      <c r="C425" s="274" t="s">
        <v>100</v>
      </c>
      <c r="D425" s="47" t="s">
        <v>29</v>
      </c>
      <c r="E425" s="68">
        <v>2.379</v>
      </c>
      <c r="G425" s="119" t="str">
        <f>CONCATENATE(D425," - ",E425,", ")</f>
        <v>MS iron scrap - 2.379, </v>
      </c>
      <c r="H425" s="273"/>
      <c r="I425" s="128" t="str">
        <f ca="1">IF(J424&gt;=3,(MID(I424,2,1)&amp;MID(I424,4,3)-K424),CELL("address",Z425))</f>
        <v>G426</v>
      </c>
      <c r="J425" s="128" t="str">
        <f ca="1">IF(J424&gt;=4,(MID(I425,1,1)&amp;MID(I425,2,3)+1),CELL("address",AA425))</f>
        <v>G427</v>
      </c>
      <c r="K425" s="128" t="str">
        <f ca="1">IF(J424&gt;=5,(MID(J425,1,1)&amp;MID(J425,2,3)+1),CELL("address",AB425))</f>
        <v>G428</v>
      </c>
      <c r="L425" s="128" t="str">
        <f ca="1">IF(J424&gt;=6,(MID(K425,1,1)&amp;MID(K425,2,3)+1),CELL("address",AC425))</f>
        <v>$AC$425</v>
      </c>
      <c r="M425" s="128" t="str">
        <f ca="1">IF(J424&gt;=7,(MID(L425,1,1)&amp;MID(L425,2,3)+1),CELL("address",AD425))</f>
        <v>$AD$425</v>
      </c>
      <c r="N425" s="128" t="str">
        <f ca="1">IF(J424&gt;=8,(MID(M425,1,1)&amp;MID(M425,2,3)+1),CELL("address",AE425))</f>
        <v>$AE$425</v>
      </c>
      <c r="O425" s="128" t="str">
        <f ca="1">IF(J424&gt;=9,(MID(N425,1,1)&amp;MID(N425,2,3)+1),CELL("address",AF425))</f>
        <v>$AF$425</v>
      </c>
      <c r="P425" s="128" t="str">
        <f ca="1">IF(J424&gt;=10,(MID(O425,1,1)&amp;MID(O425,2,3)+1),CELL("address",AG425))</f>
        <v>$AG$425</v>
      </c>
      <c r="Q425" s="128" t="str">
        <f ca="1">IF(J424&gt;=11,(MID(P425,1,1)&amp;MID(P425,2,3)+1),CELL("address",AH425))</f>
        <v>$AH$425</v>
      </c>
      <c r="R425" s="128" t="str">
        <f ca="1">IF(J424&gt;=12,(MID(Q425,1,1)&amp;MID(Q425,2,3)+1),CELL("address",AI425))</f>
        <v>$AI$425</v>
      </c>
    </row>
    <row r="426" spans="1:18" ht="15" customHeight="1">
      <c r="A426" s="275"/>
      <c r="B426" s="275"/>
      <c r="C426" s="274"/>
      <c r="D426" s="99" t="s">
        <v>65</v>
      </c>
      <c r="E426" s="70">
        <v>0.32</v>
      </c>
      <c r="G426" s="119" t="str">
        <f>CONCATENATE(D426," - ",E426,", ")</f>
        <v>Teen Patra scrap - 0.32, </v>
      </c>
      <c r="H426" s="13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</row>
    <row r="427" spans="1:18" ht="15" customHeight="1">
      <c r="A427" s="275"/>
      <c r="B427" s="275"/>
      <c r="C427" s="274"/>
      <c r="D427" s="99" t="s">
        <v>200</v>
      </c>
      <c r="E427" s="70">
        <v>0.046</v>
      </c>
      <c r="G427" s="119" t="str">
        <f>CONCATENATE(D427," - ",E427,", ")</f>
        <v>G.I. Scrap - 0.046, </v>
      </c>
      <c r="H427" s="13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</row>
    <row r="428" spans="1:8" ht="15" customHeight="1">
      <c r="A428" s="44"/>
      <c r="B428" s="46"/>
      <c r="C428" s="53"/>
      <c r="D428" s="43"/>
      <c r="E428" s="72"/>
      <c r="G428" s="119"/>
      <c r="H428" s="132"/>
    </row>
    <row r="429" spans="1:8" ht="15" customHeight="1">
      <c r="A429" s="288"/>
      <c r="B429" s="289"/>
      <c r="C429" s="45"/>
      <c r="D429" s="63"/>
      <c r="E429" s="69">
        <f>SUM(E431:E432)</f>
        <v>2.1270000000000002</v>
      </c>
      <c r="G429" s="119"/>
      <c r="H429" s="132"/>
    </row>
    <row r="430" spans="1:18" ht="15" customHeight="1">
      <c r="A430" s="275" t="s">
        <v>5</v>
      </c>
      <c r="B430" s="275"/>
      <c r="C430" s="45" t="s">
        <v>17</v>
      </c>
      <c r="D430" s="199" t="s">
        <v>18</v>
      </c>
      <c r="E430" s="44" t="s">
        <v>7</v>
      </c>
      <c r="G430" s="121" t="str">
        <f>CONCATENATE("Misc. Iron Scrap, Lying at ",C431,". Quantity in MT - ")</f>
        <v>Misc. Iron Scrap, Lying at OL Fazilka. Quantity in MT - </v>
      </c>
      <c r="H430" s="273" t="str">
        <f ca="1">CONCATENATE(G430,G431,(INDIRECT(I431)),(INDIRECT(J431)),(INDIRECT(K431)),(INDIRECT(L431)),(INDIRECT(M431)),(INDIRECT(N431)),(INDIRECT(O431)),(INDIRECT(P431)),(INDIRECT(Q431)),(INDIRECT(R431)),".")</f>
        <v>Misc. Iron Scrap, Lying at OL Fazilka. Quantity in MT - MS iron scrap - 1.957, Teen Patra scrap - 0.17, .</v>
      </c>
      <c r="I430" s="128" t="str">
        <f aca="true" ca="1" t="array" ref="I430">CELL("address",INDEX(G430:G438,MATCH(TRUE,ISBLANK(G430:G438),0)))</f>
        <v>$G$433</v>
      </c>
      <c r="J430" s="128">
        <f aca="true" t="array" ref="J430">MATCH(TRUE,ISBLANK(G430:G438),0)</f>
        <v>4</v>
      </c>
      <c r="K430" s="128">
        <f>J430-3</f>
        <v>1</v>
      </c>
      <c r="L430" s="128"/>
      <c r="M430" s="128"/>
      <c r="N430" s="128"/>
      <c r="O430" s="128"/>
      <c r="P430" s="128"/>
      <c r="Q430" s="128"/>
      <c r="R430" s="128"/>
    </row>
    <row r="431" spans="1:18" ht="15" customHeight="1">
      <c r="A431" s="304" t="s">
        <v>67</v>
      </c>
      <c r="B431" s="305"/>
      <c r="C431" s="296" t="s">
        <v>114</v>
      </c>
      <c r="D431" s="47" t="s">
        <v>29</v>
      </c>
      <c r="E431" s="70">
        <v>1.957</v>
      </c>
      <c r="G431" s="119" t="str">
        <f>CONCATENATE(D431," - ",E431,", ")</f>
        <v>MS iron scrap - 1.957, </v>
      </c>
      <c r="H431" s="273"/>
      <c r="I431" s="128" t="str">
        <f ca="1">IF(J430&gt;=3,(MID(I430,2,1)&amp;MID(I430,4,3)-K430),CELL("address",Z431))</f>
        <v>G432</v>
      </c>
      <c r="J431" s="128" t="str">
        <f ca="1">IF(J430&gt;=4,(MID(I431,1,1)&amp;MID(I431,2,3)+1),CELL("address",AA431))</f>
        <v>G433</v>
      </c>
      <c r="K431" s="128" t="str">
        <f ca="1">IF(J430&gt;=5,(MID(J431,1,1)&amp;MID(J431,2,3)+1),CELL("address",AB431))</f>
        <v>$AB$431</v>
      </c>
      <c r="L431" s="128" t="str">
        <f ca="1">IF(J430&gt;=6,(MID(K431,1,1)&amp;MID(K431,2,3)+1),CELL("address",AC431))</f>
        <v>$AC$431</v>
      </c>
      <c r="M431" s="128" t="str">
        <f ca="1">IF(J430&gt;=7,(MID(L431,1,1)&amp;MID(L431,2,3)+1),CELL("address",AD431))</f>
        <v>$AD$431</v>
      </c>
      <c r="N431" s="128" t="str">
        <f ca="1">IF(J430&gt;=8,(MID(M431,1,1)&amp;MID(M431,2,3)+1),CELL("address",AE431))</f>
        <v>$AE$431</v>
      </c>
      <c r="O431" s="128" t="str">
        <f ca="1">IF(J430&gt;=9,(MID(N431,1,1)&amp;MID(N431,2,3)+1),CELL("address",AF431))</f>
        <v>$AF$431</v>
      </c>
      <c r="P431" s="128" t="str">
        <f ca="1">IF(J430&gt;=10,(MID(O431,1,1)&amp;MID(O431,2,3)+1),CELL("address",AG431))</f>
        <v>$AG$431</v>
      </c>
      <c r="Q431" s="128" t="str">
        <f ca="1">IF(J430&gt;=11,(MID(P431,1,1)&amp;MID(P431,2,3)+1),CELL("address",AH431))</f>
        <v>$AH$431</v>
      </c>
      <c r="R431" s="128" t="str">
        <f ca="1">IF(J430&gt;=12,(MID(Q431,1,1)&amp;MID(Q431,2,3)+1),CELL("address",AI431))</f>
        <v>$AI$431</v>
      </c>
    </row>
    <row r="432" spans="1:24" ht="15" customHeight="1">
      <c r="A432" s="317"/>
      <c r="B432" s="318"/>
      <c r="C432" s="297"/>
      <c r="D432" s="99" t="s">
        <v>65</v>
      </c>
      <c r="E432" s="70">
        <v>0.17</v>
      </c>
      <c r="G432" s="119" t="str">
        <f>CONCATENATE(D432," - ",E432,", ")</f>
        <v>Teen Patra scrap - 0.17, </v>
      </c>
      <c r="H432" s="13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T432" s="312"/>
      <c r="U432" s="312"/>
      <c r="V432" s="312"/>
      <c r="W432" s="312"/>
      <c r="X432" s="312"/>
    </row>
    <row r="433" spans="1:24" ht="15" customHeight="1">
      <c r="A433" s="283"/>
      <c r="B433" s="290"/>
      <c r="C433" s="199"/>
      <c r="D433" s="45"/>
      <c r="E433" s="70"/>
      <c r="G433" s="119"/>
      <c r="H433" s="133"/>
      <c r="T433" s="313"/>
      <c r="U433" s="313"/>
      <c r="V433" s="313"/>
      <c r="W433" s="313"/>
      <c r="X433" s="313"/>
    </row>
    <row r="434" spans="1:8" ht="15" customHeight="1">
      <c r="A434" s="288"/>
      <c r="B434" s="289"/>
      <c r="C434" s="45"/>
      <c r="D434" s="63"/>
      <c r="E434" s="62">
        <f>SUM(E436:E436)</f>
        <v>100</v>
      </c>
      <c r="G434" s="119"/>
      <c r="H434" s="132"/>
    </row>
    <row r="435" spans="1:18" ht="15" customHeight="1">
      <c r="A435" s="275" t="s">
        <v>5</v>
      </c>
      <c r="B435" s="275"/>
      <c r="C435" s="45" t="s">
        <v>17</v>
      </c>
      <c r="D435" s="199" t="s">
        <v>18</v>
      </c>
      <c r="E435" s="45" t="s">
        <v>7</v>
      </c>
      <c r="G435" s="121" t="str">
        <f>CONCATENATE("Misc. Iron Scrap, Lying at ",C436,". Quantity in MT - ")</f>
        <v>Misc. Iron Scrap, Lying at S &amp; T Store Bathinda. Quantity in MT - </v>
      </c>
      <c r="H435" s="273" t="str">
        <f ca="1">CONCATENATE(G435,G436,(INDIRECT(I436)),(INDIRECT(J436)),(INDIRECT(K436)),(INDIRECT(L436)),(INDIRECT(M436)),(INDIRECT(N436)),(INDIRECT(O436)),(INDIRECT(P436)),(INDIRECT(Q436)),(INDIRECT(R436)),".")</f>
        <v>Misc. Iron Scrap, Lying at S &amp; T Store Bathinda. Quantity in MT - MS Rail scrap - 100, .</v>
      </c>
      <c r="I435" s="128" t="str">
        <f aca="true" ca="1" t="array" ref="I435">CELL("address",INDEX(G435:G442,MATCH(TRUE,ISBLANK(G435:G442),0)))</f>
        <v>$G$437</v>
      </c>
      <c r="J435" s="128">
        <f aca="true" t="array" ref="J435">MATCH(TRUE,ISBLANK(G435:G442),0)</f>
        <v>3</v>
      </c>
      <c r="K435" s="128">
        <f>J435-3</f>
        <v>0</v>
      </c>
      <c r="L435" s="128"/>
      <c r="M435" s="128"/>
      <c r="N435" s="128"/>
      <c r="O435" s="128"/>
      <c r="P435" s="128"/>
      <c r="Q435" s="128"/>
      <c r="R435" s="128"/>
    </row>
    <row r="436" spans="1:18" ht="15" customHeight="1">
      <c r="A436" s="275" t="s">
        <v>68</v>
      </c>
      <c r="B436" s="275"/>
      <c r="C436" s="199" t="s">
        <v>58</v>
      </c>
      <c r="D436" s="45" t="s">
        <v>62</v>
      </c>
      <c r="E436" s="51">
        <v>100</v>
      </c>
      <c r="G436" s="119" t="str">
        <f>CONCATENATE(D436," - ",E436,", ")</f>
        <v>MS Rail scrap - 100, </v>
      </c>
      <c r="H436" s="273"/>
      <c r="I436" s="128" t="str">
        <f ca="1">IF(J435&gt;=3,(MID(I435,2,1)&amp;MID(I435,4,3)-K435),CELL("address",Z436))</f>
        <v>G437</v>
      </c>
      <c r="J436" s="128" t="str">
        <f ca="1">IF(J435&gt;=4,(MID(I436,1,1)&amp;MID(I436,2,3)+1),CELL("address",AA436))</f>
        <v>$AA$436</v>
      </c>
      <c r="K436" s="128" t="str">
        <f ca="1">IF(J435&gt;=5,(MID(J436,1,1)&amp;MID(J436,2,3)+1),CELL("address",AB436))</f>
        <v>$AB$436</v>
      </c>
      <c r="L436" s="128" t="str">
        <f ca="1">IF(J435&gt;=6,(MID(K436,1,1)&amp;MID(K436,2,3)+1),CELL("address",AC436))</f>
        <v>$AC$436</v>
      </c>
      <c r="M436" s="128" t="str">
        <f ca="1">IF(J435&gt;=7,(MID(L436,1,1)&amp;MID(L436,2,3)+1),CELL("address",AD436))</f>
        <v>$AD$436</v>
      </c>
      <c r="N436" s="128" t="str">
        <f ca="1">IF(J435&gt;=8,(MID(M436,1,1)&amp;MID(M436,2,3)+1),CELL("address",AE436))</f>
        <v>$AE$436</v>
      </c>
      <c r="O436" s="128" t="str">
        <f ca="1">IF(J435&gt;=9,(MID(N436,1,1)&amp;MID(N436,2,3)+1),CELL("address",AF436))</f>
        <v>$AF$436</v>
      </c>
      <c r="P436" s="128" t="str">
        <f ca="1">IF(J435&gt;=10,(MID(O436,1,1)&amp;MID(O436,2,3)+1),CELL("address",AG436))</f>
        <v>$AG$436</v>
      </c>
      <c r="Q436" s="128" t="str">
        <f ca="1">IF(J435&gt;=11,(MID(P436,1,1)&amp;MID(P436,2,3)+1),CELL("address",AH436))</f>
        <v>$AH$436</v>
      </c>
      <c r="R436" s="128" t="str">
        <f ca="1">IF(J435&gt;=12,(MID(Q436,1,1)&amp;MID(Q436,2,3)+1),CELL("address",AI436))</f>
        <v>$AI$436</v>
      </c>
    </row>
    <row r="437" spans="1:8" ht="15" customHeight="1">
      <c r="A437" s="44"/>
      <c r="B437" s="46"/>
      <c r="C437" s="53"/>
      <c r="D437" s="46"/>
      <c r="E437" s="70"/>
      <c r="G437" s="119"/>
      <c r="H437" s="133"/>
    </row>
    <row r="438" spans="1:8" ht="15" customHeight="1">
      <c r="A438" s="59"/>
      <c r="B438" s="60"/>
      <c r="C438" s="60"/>
      <c r="D438" s="63"/>
      <c r="E438" s="58">
        <f>SUM(E440:E444)</f>
        <v>7.515</v>
      </c>
      <c r="G438" s="119"/>
      <c r="H438" s="132"/>
    </row>
    <row r="439" spans="1:18" ht="15" customHeight="1">
      <c r="A439" s="275" t="s">
        <v>5</v>
      </c>
      <c r="B439" s="275"/>
      <c r="C439" s="45" t="s">
        <v>17</v>
      </c>
      <c r="D439" s="199" t="s">
        <v>18</v>
      </c>
      <c r="E439" s="45" t="s">
        <v>7</v>
      </c>
      <c r="G439" s="121" t="str">
        <f>CONCATENATE("Misc. Iron Scrap, Lying at ",C440,". Quantity in MT - ")</f>
        <v>Misc. Iron Scrap, Lying at CS Kotkapura. Quantity in MT - </v>
      </c>
      <c r="H439" s="273" t="str">
        <f ca="1">CONCATENATE(G439,G440,(INDIRECT(I440)),(INDIRECT(J440)),(INDIRECT(K440)),(INDIRECT(L440)),(INDIRECT(M440)),(INDIRECT(N440)),(INDIRECT(O440)),(INDIRECT(P440)),(INDIRECT(Q440)),(INDIRECT(R440)),".")</f>
        <v>Misc. Iron Scrap, Lying at CS Kotkapura. Quantity in MT - MS iron scrap - 3.596, Transformer body scrap - 2.973, Teen Patra scrap - 0.878, G.I. Scrap - 0.048, M.S. Nuts &amp; Bolts Scrap - 0.02, .</v>
      </c>
      <c r="I439" s="128" t="str">
        <f aca="true" ca="1" t="array" ref="I439">CELL("address",INDEX(G439:G445,MATCH(TRUE,ISBLANK(G439:G445),0)))</f>
        <v>$G$445</v>
      </c>
      <c r="J439" s="128">
        <f aca="true" t="array" ref="J439">MATCH(TRUE,ISBLANK(G439:G445),0)</f>
        <v>7</v>
      </c>
      <c r="K439" s="128">
        <f>J439-3</f>
        <v>4</v>
      </c>
      <c r="L439" s="128"/>
      <c r="M439" s="128"/>
      <c r="N439" s="128"/>
      <c r="O439" s="128"/>
      <c r="P439" s="128"/>
      <c r="Q439" s="128"/>
      <c r="R439" s="128"/>
    </row>
    <row r="440" spans="1:18" ht="15" customHeight="1">
      <c r="A440" s="275" t="s">
        <v>69</v>
      </c>
      <c r="B440" s="275"/>
      <c r="C440" s="274" t="s">
        <v>43</v>
      </c>
      <c r="D440" s="47" t="s">
        <v>29</v>
      </c>
      <c r="E440" s="68">
        <v>3.596</v>
      </c>
      <c r="F440" s="1">
        <v>3.223</v>
      </c>
      <c r="G440" s="119" t="str">
        <f>CONCATENATE(D440," - ",E440,", ")</f>
        <v>MS iron scrap - 3.596, </v>
      </c>
      <c r="H440" s="273"/>
      <c r="I440" s="128" t="str">
        <f ca="1">IF(J439&gt;=3,(MID(I439,2,1)&amp;MID(I439,4,3)-K439),CELL("address",Z440))</f>
        <v>G441</v>
      </c>
      <c r="J440" s="128" t="str">
        <f ca="1">IF(J439&gt;=4,(MID(I440,1,1)&amp;MID(I440,2,3)+1),CELL("address",AA440))</f>
        <v>G442</v>
      </c>
      <c r="K440" s="128" t="str">
        <f ca="1">IF(J439&gt;=5,(MID(J440,1,1)&amp;MID(J440,2,3)+1),CELL("address",AB440))</f>
        <v>G443</v>
      </c>
      <c r="L440" s="128" t="str">
        <f ca="1">IF(J439&gt;=6,(MID(K440,1,1)&amp;MID(K440,2,3)+1),CELL("address",AC440))</f>
        <v>G444</v>
      </c>
      <c r="M440" s="128" t="str">
        <f ca="1">IF(J439&gt;=7,(MID(L440,1,1)&amp;MID(L440,2,3)+1),CELL("address",AD440))</f>
        <v>G445</v>
      </c>
      <c r="N440" s="128" t="str">
        <f ca="1">IF(J439&gt;=8,(MID(M440,1,1)&amp;MID(M440,2,3)+1),CELL("address",AE440))</f>
        <v>$AE$440</v>
      </c>
      <c r="O440" s="128" t="str">
        <f ca="1">IF(J439&gt;=9,(MID(N440,1,1)&amp;MID(N440,2,3)+1),CELL("address",AF440))</f>
        <v>$AF$440</v>
      </c>
      <c r="P440" s="128" t="str">
        <f ca="1">IF(J439&gt;=10,(MID(O440,1,1)&amp;MID(O440,2,3)+1),CELL("address",AG440))</f>
        <v>$AG$440</v>
      </c>
      <c r="Q440" s="128" t="str">
        <f ca="1">IF(J439&gt;=11,(MID(P440,1,1)&amp;MID(P440,2,3)+1),CELL("address",AH440))</f>
        <v>$AH$440</v>
      </c>
      <c r="R440" s="128" t="str">
        <f ca="1">IF(J439&gt;=12,(MID(Q440,1,1)&amp;MID(Q440,2,3)+1),CELL("address",AI440))</f>
        <v>$AI$440</v>
      </c>
    </row>
    <row r="441" spans="1:8" ht="15" customHeight="1">
      <c r="A441" s="275"/>
      <c r="B441" s="275"/>
      <c r="C441" s="274"/>
      <c r="D441" s="99" t="s">
        <v>61</v>
      </c>
      <c r="E441" s="68">
        <v>2.973</v>
      </c>
      <c r="F441" s="1">
        <v>2.479</v>
      </c>
      <c r="G441" s="119" t="str">
        <f>CONCATENATE(D441," - ",E441,", ")</f>
        <v>Transformer body scrap - 2.973, </v>
      </c>
      <c r="H441" s="132"/>
    </row>
    <row r="442" spans="1:8" ht="15" customHeight="1">
      <c r="A442" s="275"/>
      <c r="B442" s="275"/>
      <c r="C442" s="274"/>
      <c r="D442" s="99" t="s">
        <v>65</v>
      </c>
      <c r="E442" s="68">
        <v>0.878</v>
      </c>
      <c r="F442" s="1">
        <v>0.825</v>
      </c>
      <c r="G442" s="119" t="str">
        <f>CONCATENATE(D442," - ",E442,", ")</f>
        <v>Teen Patra scrap - 0.878, </v>
      </c>
      <c r="H442" s="132"/>
    </row>
    <row r="443" spans="1:8" ht="15" customHeight="1">
      <c r="A443" s="275"/>
      <c r="B443" s="275"/>
      <c r="C443" s="274"/>
      <c r="D443" s="99" t="s">
        <v>200</v>
      </c>
      <c r="E443" s="70">
        <v>0.048</v>
      </c>
      <c r="F443" s="1">
        <v>0.038</v>
      </c>
      <c r="G443" s="119" t="str">
        <f>CONCATENATE(D443," - ",E443,", ")</f>
        <v>G.I. Scrap - 0.048, </v>
      </c>
      <c r="H443" s="132"/>
    </row>
    <row r="444" spans="1:8" ht="15" customHeight="1">
      <c r="A444" s="275"/>
      <c r="B444" s="275"/>
      <c r="C444" s="274"/>
      <c r="D444" s="99" t="s">
        <v>201</v>
      </c>
      <c r="E444" s="70">
        <v>0.02</v>
      </c>
      <c r="G444" s="119" t="str">
        <f>CONCATENATE(D444," - ",E444,", ")</f>
        <v>M.S. Nuts &amp; Bolts Scrap - 0.02, </v>
      </c>
      <c r="H444" s="132"/>
    </row>
    <row r="445" spans="1:8" ht="15" customHeight="1">
      <c r="A445" s="44"/>
      <c r="B445" s="46"/>
      <c r="C445" s="53"/>
      <c r="D445" s="215"/>
      <c r="E445" s="72"/>
      <c r="G445" s="119"/>
      <c r="H445" s="132"/>
    </row>
    <row r="446" spans="1:8" ht="15" customHeight="1">
      <c r="A446" s="59"/>
      <c r="B446" s="60"/>
      <c r="C446" s="60"/>
      <c r="D446" s="63"/>
      <c r="E446" s="58">
        <f>SUM(E448:E450)</f>
        <v>16.012</v>
      </c>
      <c r="G446" s="119"/>
      <c r="H446" s="132"/>
    </row>
    <row r="447" spans="1:18" ht="15" customHeight="1">
      <c r="A447" s="316" t="s">
        <v>5</v>
      </c>
      <c r="B447" s="316"/>
      <c r="C447" s="27" t="s">
        <v>17</v>
      </c>
      <c r="D447" s="88" t="s">
        <v>18</v>
      </c>
      <c r="E447" s="27" t="s">
        <v>7</v>
      </c>
      <c r="G447" s="121" t="str">
        <f>CONCATENATE("Misc. Iron Scrap, Lying at ",C448,". Quantity in MT - ")</f>
        <v>Misc. Iron Scrap, Lying at OL Moga. Quantity in MT - </v>
      </c>
      <c r="H447" s="273" t="str">
        <f ca="1">CONCATENATE(G447,G448,(INDIRECT(I448)),(INDIRECT(J448)),(INDIRECT(K448)),(INDIRECT(L448)),(INDIRECT(M448)),(INDIRECT(N448)),(INDIRECT(O448)),(INDIRECT(P448)),(INDIRECT(Q448)),(INDIRECT(R448)),".")</f>
        <v>Misc. Iron Scrap, Lying at OL Moga. Quantity in MT - MS iron scrap - 9.102, Transformer body scrap - 6.89, M.S. Nuts &amp; Bolts Scrap - 0.02, .</v>
      </c>
      <c r="I447" s="128" t="str">
        <f aca="true" ca="1" t="array" ref="I447">CELL("address",INDEX(G447:G521,MATCH(TRUE,ISBLANK(G447:G521),0)))</f>
        <v>$G$451</v>
      </c>
      <c r="J447" s="128">
        <f aca="true" t="array" ref="J447">MATCH(TRUE,ISBLANK(G447:G521),0)</f>
        <v>5</v>
      </c>
      <c r="K447" s="128">
        <f>J447-3</f>
        <v>2</v>
      </c>
      <c r="L447" s="128"/>
      <c r="M447" s="128"/>
      <c r="N447" s="128"/>
      <c r="O447" s="128"/>
      <c r="P447" s="128"/>
      <c r="Q447" s="128"/>
      <c r="R447" s="128"/>
    </row>
    <row r="448" spans="1:18" ht="15" customHeight="1">
      <c r="A448" s="275" t="s">
        <v>177</v>
      </c>
      <c r="B448" s="275"/>
      <c r="C448" s="274" t="s">
        <v>275</v>
      </c>
      <c r="D448" s="47" t="s">
        <v>29</v>
      </c>
      <c r="E448" s="51">
        <v>9.102</v>
      </c>
      <c r="F448" s="1">
        <v>8.79</v>
      </c>
      <c r="G448" s="119" t="str">
        <f>CONCATENATE(D448," - ",E448,", ")</f>
        <v>MS iron scrap - 9.102, </v>
      </c>
      <c r="H448" s="273"/>
      <c r="I448" s="128" t="str">
        <f ca="1">IF(J447&gt;=3,(MID(I447,2,1)&amp;MID(I447,4,3)-K447),CELL("address",Z448))</f>
        <v>G449</v>
      </c>
      <c r="J448" s="128" t="str">
        <f ca="1">IF(J447&gt;=4,(MID(I448,1,1)&amp;MID(I448,2,3)+1),CELL("address",AA448))</f>
        <v>G450</v>
      </c>
      <c r="K448" s="128" t="str">
        <f ca="1">IF(J447&gt;=5,(MID(J448,1,1)&amp;MID(J448,2,3)+1),CELL("address",AB448))</f>
        <v>G451</v>
      </c>
      <c r="L448" s="128" t="str">
        <f ca="1">IF(J447&gt;=6,(MID(K448,1,1)&amp;MID(K448,2,3)+1),CELL("address",AC448))</f>
        <v>$AC$448</v>
      </c>
      <c r="M448" s="128" t="str">
        <f ca="1">IF(J447&gt;=7,(MID(L448,1,1)&amp;MID(L448,2,3)+1),CELL("address",AD448))</f>
        <v>$AD$448</v>
      </c>
      <c r="N448" s="128" t="str">
        <f ca="1">IF(J447&gt;=8,(MID(M448,1,1)&amp;MID(M448,2,3)+1),CELL("address",AE448))</f>
        <v>$AE$448</v>
      </c>
      <c r="O448" s="128" t="str">
        <f ca="1">IF(J447&gt;=9,(MID(N448,1,1)&amp;MID(N448,2,3)+1),CELL("address",AF448))</f>
        <v>$AF$448</v>
      </c>
      <c r="P448" s="128" t="str">
        <f ca="1">IF(J447&gt;=10,(MID(O448,1,1)&amp;MID(O448,2,3)+1),CELL("address",AG448))</f>
        <v>$AG$448</v>
      </c>
      <c r="Q448" s="128" t="str">
        <f ca="1">IF(J447&gt;=11,(MID(P448,1,1)&amp;MID(P448,2,3)+1),CELL("address",AH448))</f>
        <v>$AH$448</v>
      </c>
      <c r="R448" s="128" t="str">
        <f ca="1">IF(J447&gt;=12,(MID(Q448,1,1)&amp;MID(Q448,2,3)+1),CELL("address",AI448))</f>
        <v>$AI$448</v>
      </c>
    </row>
    <row r="449" spans="1:8" ht="15" customHeight="1">
      <c r="A449" s="275"/>
      <c r="B449" s="275"/>
      <c r="C449" s="274"/>
      <c r="D449" s="99" t="s">
        <v>61</v>
      </c>
      <c r="E449" s="51">
        <v>6.89</v>
      </c>
      <c r="F449" s="1">
        <v>6.345</v>
      </c>
      <c r="G449" s="119" t="str">
        <f>CONCATENATE(D449," - ",E449,", ")</f>
        <v>Transformer body scrap - 6.89, </v>
      </c>
      <c r="H449" s="132"/>
    </row>
    <row r="450" spans="1:8" ht="15" customHeight="1">
      <c r="A450" s="275"/>
      <c r="B450" s="275"/>
      <c r="C450" s="274"/>
      <c r="D450" s="99" t="s">
        <v>201</v>
      </c>
      <c r="E450" s="70">
        <v>0.02</v>
      </c>
      <c r="F450" s="1" t="s">
        <v>327</v>
      </c>
      <c r="G450" s="119" t="str">
        <f>CONCATENATE(D450," - ",E450,", ")</f>
        <v>M.S. Nuts &amp; Bolts Scrap - 0.02, </v>
      </c>
      <c r="H450" s="132"/>
    </row>
    <row r="451" spans="1:8" ht="15" customHeight="1">
      <c r="A451" s="44"/>
      <c r="B451" s="46"/>
      <c r="C451" s="53"/>
      <c r="D451" s="116"/>
      <c r="E451" s="70"/>
      <c r="G451" s="119"/>
      <c r="H451" s="132"/>
    </row>
    <row r="452" spans="1:8" ht="15" customHeight="1">
      <c r="A452" s="59"/>
      <c r="B452" s="60"/>
      <c r="C452" s="60"/>
      <c r="D452" s="61"/>
      <c r="E452" s="62">
        <f>SUM(E454:E456)</f>
        <v>6.781</v>
      </c>
      <c r="G452" s="119"/>
      <c r="H452" s="132"/>
    </row>
    <row r="453" spans="1:18" ht="15" customHeight="1">
      <c r="A453" s="275" t="s">
        <v>5</v>
      </c>
      <c r="B453" s="275"/>
      <c r="C453" s="45" t="s">
        <v>17</v>
      </c>
      <c r="D453" s="199" t="s">
        <v>18</v>
      </c>
      <c r="E453" s="45" t="s">
        <v>7</v>
      </c>
      <c r="G453" s="121" t="str">
        <f>CONCATENATE("Misc. Iron Scrap, Lying at ",C454,". Quantity in MT - ")</f>
        <v>Misc. Iron Scrap, Lying at OL Malerkotla. Quantity in MT - </v>
      </c>
      <c r="H453" s="273" t="str">
        <f ca="1">CONCATENATE(G453,G454,(INDIRECT(I454)),(INDIRECT(J454)),(INDIRECT(K454)),(INDIRECT(L454)),(INDIRECT(M454)),(INDIRECT(N454)),(INDIRECT(O454)),(INDIRECT(P454)),(INDIRECT(Q454)),(INDIRECT(R454)),".")</f>
        <v>Misc. Iron Scrap, Lying at OL Malerkotla. Quantity in MT - MS iron scrap - 2.537, Transformer body scrap - 4.104, MS Rail scrap - 0.14, .</v>
      </c>
      <c r="I453" s="128" t="str">
        <f aca="true" ca="1" t="array" ref="I453">CELL("address",INDEX(G453:G555,MATCH(TRUE,ISBLANK(G453:G555),0)))</f>
        <v>$G$457</v>
      </c>
      <c r="J453" s="128">
        <f aca="true" t="array" ref="J453">MATCH(TRUE,ISBLANK(G453:G555),0)</f>
        <v>5</v>
      </c>
      <c r="K453" s="128">
        <f>J453-3</f>
        <v>2</v>
      </c>
      <c r="L453" s="128"/>
      <c r="M453" s="128"/>
      <c r="N453" s="128"/>
      <c r="O453" s="128"/>
      <c r="P453" s="128"/>
      <c r="Q453" s="128"/>
      <c r="R453" s="128"/>
    </row>
    <row r="454" spans="1:18" ht="15" customHeight="1">
      <c r="A454" s="275" t="s">
        <v>121</v>
      </c>
      <c r="B454" s="275"/>
      <c r="C454" s="274" t="s">
        <v>128</v>
      </c>
      <c r="D454" s="47" t="s">
        <v>29</v>
      </c>
      <c r="E454" s="51">
        <v>2.537</v>
      </c>
      <c r="G454" s="119" t="str">
        <f>CONCATENATE(D454," - ",E454,", ")</f>
        <v>MS iron scrap - 2.537, </v>
      </c>
      <c r="H454" s="273"/>
      <c r="I454" s="128" t="str">
        <f ca="1">IF(J453&gt;=3,(MID(I453,2,1)&amp;MID(I453,4,3)-K453),CELL("address",Z454))</f>
        <v>G455</v>
      </c>
      <c r="J454" s="128" t="str">
        <f ca="1">IF(J453&gt;=4,(MID(I454,1,1)&amp;MID(I454,2,3)+1),CELL("address",AA454))</f>
        <v>G456</v>
      </c>
      <c r="K454" s="128" t="str">
        <f ca="1">IF(J453&gt;=5,(MID(J454,1,1)&amp;MID(J454,2,3)+1),CELL("address",AB454))</f>
        <v>G457</v>
      </c>
      <c r="L454" s="128" t="str">
        <f ca="1">IF(J453&gt;=6,(MID(K454,1,1)&amp;MID(K454,2,3)+1),CELL("address",AC454))</f>
        <v>$AC$454</v>
      </c>
      <c r="M454" s="128" t="str">
        <f ca="1">IF(J453&gt;=7,(MID(L454,1,1)&amp;MID(L454,2,3)+1),CELL("address",AD454))</f>
        <v>$AD$454</v>
      </c>
      <c r="N454" s="128" t="str">
        <f ca="1">IF(J453&gt;=8,(MID(M454,1,1)&amp;MID(M454,2,3)+1),CELL("address",AE454))</f>
        <v>$AE$454</v>
      </c>
      <c r="O454" s="128" t="str">
        <f ca="1">IF(J453&gt;=9,(MID(N454,1,1)&amp;MID(N454,2,3)+1),CELL("address",AF454))</f>
        <v>$AF$454</v>
      </c>
      <c r="P454" s="128" t="str">
        <f ca="1">IF(J453&gt;=10,(MID(O454,1,1)&amp;MID(O454,2,3)+1),CELL("address",AG454))</f>
        <v>$AG$454</v>
      </c>
      <c r="Q454" s="128" t="str">
        <f ca="1">IF(J453&gt;=11,(MID(P454,1,1)&amp;MID(P454,2,3)+1),CELL("address",AH454))</f>
        <v>$AH$454</v>
      </c>
      <c r="R454" s="128" t="str">
        <f ca="1">IF(J453&gt;=12,(MID(Q454,1,1)&amp;MID(Q454,2,3)+1),CELL("address",AI454))</f>
        <v>$AI$454</v>
      </c>
    </row>
    <row r="455" spans="1:8" ht="15" customHeight="1">
      <c r="A455" s="275"/>
      <c r="B455" s="275"/>
      <c r="C455" s="274"/>
      <c r="D455" s="99" t="s">
        <v>61</v>
      </c>
      <c r="E455" s="51">
        <v>4.104</v>
      </c>
      <c r="G455" s="119" t="str">
        <f>CONCATENATE(D455," - ",E455,", ")</f>
        <v>Transformer body scrap - 4.104, </v>
      </c>
      <c r="H455" s="132"/>
    </row>
    <row r="456" spans="1:8" ht="15" customHeight="1">
      <c r="A456" s="275"/>
      <c r="B456" s="275"/>
      <c r="C456" s="274"/>
      <c r="D456" s="47" t="s">
        <v>62</v>
      </c>
      <c r="E456" s="70">
        <v>0.14</v>
      </c>
      <c r="G456" s="119" t="str">
        <f>CONCATENATE(D456," - ",E456,", ")</f>
        <v>MS Rail scrap - 0.14, </v>
      </c>
      <c r="H456" s="132"/>
    </row>
    <row r="457" spans="1:8" ht="15" customHeight="1">
      <c r="A457" s="44"/>
      <c r="B457" s="46"/>
      <c r="C457" s="53"/>
      <c r="D457" s="215"/>
      <c r="E457" s="72"/>
      <c r="G457" s="119"/>
      <c r="H457" s="132"/>
    </row>
    <row r="458" spans="1:8" ht="15" customHeight="1">
      <c r="A458" s="59"/>
      <c r="B458" s="60"/>
      <c r="C458" s="60"/>
      <c r="D458" s="63"/>
      <c r="E458" s="58">
        <f>SUM(E460:E461)</f>
        <v>0.862</v>
      </c>
      <c r="G458" s="119"/>
      <c r="H458" s="132"/>
    </row>
    <row r="459" spans="1:18" ht="15" customHeight="1">
      <c r="A459" s="276" t="s">
        <v>5</v>
      </c>
      <c r="B459" s="276"/>
      <c r="C459" s="85" t="s">
        <v>17</v>
      </c>
      <c r="D459" s="199" t="s">
        <v>18</v>
      </c>
      <c r="E459" s="45" t="s">
        <v>7</v>
      </c>
      <c r="G459" s="121" t="str">
        <f>CONCATENATE("Misc. Iron Scrap, Lying at ",C460,". Quantity in MT - ")</f>
        <v>Misc. Iron Scrap, Lying at OL Bhagta Bhai Ka. Quantity in MT - </v>
      </c>
      <c r="H459" s="273" t="str">
        <f ca="1">CONCATENATE(G459,G460,(INDIRECT(I460)),(INDIRECT(J460)),(INDIRECT(K460)),(INDIRECT(L460)),(INDIRECT(M460)),(INDIRECT(N460)),(INDIRECT(O460)),(INDIRECT(P460)),(INDIRECT(Q460)),(INDIRECT(R460)),".")</f>
        <v>Misc. Iron Scrap, Lying at OL Bhagta Bhai Ka. Quantity in MT - MS iron scrap - 0.45, Transformer body scrap - 0.412, .</v>
      </c>
      <c r="I459" s="128" t="str">
        <f aca="true" ca="1" t="array" ref="I459">CELL("address",INDEX(G459:G570,MATCH(TRUE,ISBLANK(G459:G570),0)))</f>
        <v>$G$462</v>
      </c>
      <c r="J459" s="128">
        <f aca="true" t="array" ref="J459">MATCH(TRUE,ISBLANK(G459:G570),0)</f>
        <v>4</v>
      </c>
      <c r="K459" s="128">
        <f>J459-3</f>
        <v>1</v>
      </c>
      <c r="L459" s="128"/>
      <c r="M459" s="128"/>
      <c r="N459" s="128"/>
      <c r="O459" s="128"/>
      <c r="P459" s="128"/>
      <c r="Q459" s="128"/>
      <c r="R459" s="128"/>
    </row>
    <row r="460" spans="1:18" ht="15" customHeight="1">
      <c r="A460" s="275" t="s">
        <v>202</v>
      </c>
      <c r="B460" s="275"/>
      <c r="C460" s="274" t="s">
        <v>101</v>
      </c>
      <c r="D460" s="45" t="s">
        <v>29</v>
      </c>
      <c r="E460" s="51">
        <v>0.45</v>
      </c>
      <c r="G460" s="119" t="str">
        <f>CONCATENATE(D460," - ",E460,", ")</f>
        <v>MS iron scrap - 0.45, </v>
      </c>
      <c r="H460" s="273"/>
      <c r="I460" s="128" t="str">
        <f ca="1">IF(J459&gt;=3,(MID(I459,2,1)&amp;MID(I459,4,3)-K459),CELL("address",Z460))</f>
        <v>G461</v>
      </c>
      <c r="J460" s="128" t="str">
        <f ca="1">IF(J459&gt;=4,(MID(I460,1,1)&amp;MID(I460,2,3)+1),CELL("address",AA460))</f>
        <v>G462</v>
      </c>
      <c r="K460" s="128" t="str">
        <f ca="1">IF(J459&gt;=5,(MID(J460,1,1)&amp;MID(J460,2,3)+1),CELL("address",AB460))</f>
        <v>$AB$460</v>
      </c>
      <c r="L460" s="128" t="str">
        <f ca="1">IF(J459&gt;=6,(MID(K460,1,1)&amp;MID(K460,2,3)+1),CELL("address",AC460))</f>
        <v>$AC$460</v>
      </c>
      <c r="M460" s="128" t="str">
        <f ca="1">IF(J459&gt;=7,(MID(L460,1,1)&amp;MID(L460,2,3)+1),CELL("address",AD460))</f>
        <v>$AD$460</v>
      </c>
      <c r="N460" s="128" t="str">
        <f ca="1">IF(J459&gt;=8,(MID(M460,1,1)&amp;MID(M460,2,3)+1),CELL("address",AE460))</f>
        <v>$AE$460</v>
      </c>
      <c r="O460" s="128" t="str">
        <f ca="1">IF(J459&gt;=9,(MID(N460,1,1)&amp;MID(N460,2,3)+1),CELL("address",AF460))</f>
        <v>$AF$460</v>
      </c>
      <c r="P460" s="128" t="str">
        <f ca="1">IF(J459&gt;=10,(MID(O460,1,1)&amp;MID(O460,2,3)+1),CELL("address",AG460))</f>
        <v>$AG$460</v>
      </c>
      <c r="Q460" s="128" t="str">
        <f ca="1">IF(J459&gt;=11,(MID(P460,1,1)&amp;MID(P460,2,3)+1),CELL("address",AH460))</f>
        <v>$AH$460</v>
      </c>
      <c r="R460" s="128" t="str">
        <f ca="1">IF(J459&gt;=12,(MID(Q460,1,1)&amp;MID(Q460,2,3)+1),CELL("address",AI460))</f>
        <v>$AI$460</v>
      </c>
    </row>
    <row r="461" spans="1:8" ht="15" customHeight="1">
      <c r="A461" s="275"/>
      <c r="B461" s="275"/>
      <c r="C461" s="274"/>
      <c r="D461" s="50" t="s">
        <v>61</v>
      </c>
      <c r="E461" s="51">
        <v>0.412</v>
      </c>
      <c r="G461" s="119" t="str">
        <f>CONCATENATE(D461," - ",E461,", ")</f>
        <v>Transformer body scrap - 0.412, </v>
      </c>
      <c r="H461" s="132"/>
    </row>
    <row r="462" spans="1:8" ht="15" customHeight="1">
      <c r="A462" s="44"/>
      <c r="B462" s="46"/>
      <c r="C462" s="53"/>
      <c r="D462" s="215"/>
      <c r="E462" s="64"/>
      <c r="G462" s="119"/>
      <c r="H462" s="132"/>
    </row>
    <row r="463" spans="1:8" ht="15" customHeight="1">
      <c r="A463" s="59"/>
      <c r="B463" s="60"/>
      <c r="C463" s="60"/>
      <c r="D463" s="63"/>
      <c r="E463" s="58">
        <f>SUM(E465:E467)</f>
        <v>3.256</v>
      </c>
      <c r="G463" s="119"/>
      <c r="H463" s="132"/>
    </row>
    <row r="464" spans="1:18" ht="15" customHeight="1">
      <c r="A464" s="276" t="s">
        <v>5</v>
      </c>
      <c r="B464" s="276"/>
      <c r="C464" s="85" t="s">
        <v>17</v>
      </c>
      <c r="D464" s="199" t="s">
        <v>18</v>
      </c>
      <c r="E464" s="45" t="s">
        <v>7</v>
      </c>
      <c r="G464" s="121" t="str">
        <f>CONCATENATE("Misc. Iron Scrap, Lying at ",C465,". Quantity in MT - ")</f>
        <v>Misc. Iron Scrap, Lying at OL Shri Mukfsar Sahib. Quantity in MT - </v>
      </c>
      <c r="H464" s="273" t="str">
        <f ca="1">CONCATENATE(G464,G465,(INDIRECT(I465)),(INDIRECT(J465)),(INDIRECT(K465)),(INDIRECT(L465)),(INDIRECT(M465)),(INDIRECT(N465)),(INDIRECT(O465)),(INDIRECT(P465)),(INDIRECT(Q465)),(INDIRECT(R465)),".")</f>
        <v>Misc. Iron Scrap, Lying at OL Shri Mukfsar Sahib. Quantity in MT - MS iron scrap - 0.764, Transformer body scrap - 2.302, G.I. scrap - 0.19, .</v>
      </c>
      <c r="I464" s="128" t="str">
        <f aca="true" ca="1" t="array" ref="I464">CELL("address",INDEX(G464:G575,MATCH(TRUE,ISBLANK(G464:G575),0)))</f>
        <v>$G$468</v>
      </c>
      <c r="J464" s="128">
        <f aca="true" t="array" ref="J464">MATCH(TRUE,ISBLANK(G464:G575),0)</f>
        <v>5</v>
      </c>
      <c r="K464" s="128">
        <f>J464-3</f>
        <v>2</v>
      </c>
      <c r="L464" s="128"/>
      <c r="M464" s="128"/>
      <c r="N464" s="128"/>
      <c r="O464" s="128"/>
      <c r="P464" s="128"/>
      <c r="Q464" s="128"/>
      <c r="R464" s="128"/>
    </row>
    <row r="465" spans="1:18" ht="15" customHeight="1">
      <c r="A465" s="275" t="s">
        <v>209</v>
      </c>
      <c r="B465" s="275"/>
      <c r="C465" s="274" t="s">
        <v>337</v>
      </c>
      <c r="D465" s="47" t="s">
        <v>29</v>
      </c>
      <c r="E465" s="51">
        <v>0.764</v>
      </c>
      <c r="G465" s="119" t="str">
        <f>CONCATENATE(D465," - ",E465,", ")</f>
        <v>MS iron scrap - 0.764, </v>
      </c>
      <c r="H465" s="273"/>
      <c r="I465" s="128" t="str">
        <f ca="1">IF(J464&gt;=3,(MID(I464,2,1)&amp;MID(I464,4,3)-K464),CELL("address",Z465))</f>
        <v>G466</v>
      </c>
      <c r="J465" s="128" t="str">
        <f ca="1">IF(J464&gt;=4,(MID(I465,1,1)&amp;MID(I465,2,3)+1),CELL("address",AA465))</f>
        <v>G467</v>
      </c>
      <c r="K465" s="128" t="str">
        <f ca="1">IF(J464&gt;=5,(MID(J465,1,1)&amp;MID(J465,2,3)+1),CELL("address",AB465))</f>
        <v>G468</v>
      </c>
      <c r="L465" s="128" t="str">
        <f ca="1">IF(J464&gt;=6,(MID(K465,1,1)&amp;MID(K465,2,3)+1),CELL("address",AC465))</f>
        <v>$AC$465</v>
      </c>
      <c r="M465" s="128" t="str">
        <f ca="1">IF(J464&gt;=7,(MID(L465,1,1)&amp;MID(L465,2,3)+1),CELL("address",AD465))</f>
        <v>$AD$465</v>
      </c>
      <c r="N465" s="128" t="str">
        <f ca="1">IF(J464&gt;=8,(MID(M465,1,1)&amp;MID(M465,2,3)+1),CELL("address",AE465))</f>
        <v>$AE$465</v>
      </c>
      <c r="O465" s="128" t="str">
        <f ca="1">IF(J464&gt;=9,(MID(N465,1,1)&amp;MID(N465,2,3)+1),CELL("address",AF465))</f>
        <v>$AF$465</v>
      </c>
      <c r="P465" s="128" t="str">
        <f ca="1">IF(J464&gt;=10,(MID(O465,1,1)&amp;MID(O465,2,3)+1),CELL("address",AG465))</f>
        <v>$AG$465</v>
      </c>
      <c r="Q465" s="128" t="str">
        <f ca="1">IF(J464&gt;=11,(MID(P465,1,1)&amp;MID(P465,2,3)+1),CELL("address",AH465))</f>
        <v>$AH$465</v>
      </c>
      <c r="R465" s="128" t="str">
        <f ca="1">IF(J464&gt;=12,(MID(Q465,1,1)&amp;MID(Q465,2,3)+1),CELL("address",AI465))</f>
        <v>$AI$465</v>
      </c>
    </row>
    <row r="466" spans="1:8" ht="15" customHeight="1">
      <c r="A466" s="275"/>
      <c r="B466" s="275"/>
      <c r="C466" s="274"/>
      <c r="D466" s="99" t="s">
        <v>61</v>
      </c>
      <c r="E466" s="51">
        <v>2.302</v>
      </c>
      <c r="G466" s="119" t="str">
        <f>CONCATENATE(D466," - ",E466,", ")</f>
        <v>Transformer body scrap - 2.302, </v>
      </c>
      <c r="H466" s="132"/>
    </row>
    <row r="467" spans="1:8" ht="15" customHeight="1">
      <c r="A467" s="275"/>
      <c r="B467" s="275"/>
      <c r="C467" s="274"/>
      <c r="D467" s="99" t="s">
        <v>195</v>
      </c>
      <c r="E467" s="68">
        <v>0.19</v>
      </c>
      <c r="G467" s="119" t="str">
        <f>CONCATENATE(D467," - ",E467,", ")</f>
        <v>G.I. scrap - 0.19, </v>
      </c>
      <c r="H467" s="132"/>
    </row>
    <row r="468" spans="1:8" ht="15" customHeight="1">
      <c r="A468" s="44"/>
      <c r="B468" s="46"/>
      <c r="C468" s="53"/>
      <c r="D468" s="215"/>
      <c r="E468" s="64"/>
      <c r="G468" s="123"/>
      <c r="H468" s="132"/>
    </row>
    <row r="469" spans="1:8" ht="15" customHeight="1">
      <c r="A469" s="59"/>
      <c r="B469" s="60"/>
      <c r="C469" s="60"/>
      <c r="D469" s="63"/>
      <c r="E469" s="58">
        <f>SUM(E471:E471)</f>
        <v>0.148</v>
      </c>
      <c r="G469" s="123"/>
      <c r="H469" s="132"/>
    </row>
    <row r="470" spans="1:18" ht="15" customHeight="1">
      <c r="A470" s="276" t="s">
        <v>5</v>
      </c>
      <c r="B470" s="276"/>
      <c r="C470" s="85" t="s">
        <v>17</v>
      </c>
      <c r="D470" s="199" t="s">
        <v>18</v>
      </c>
      <c r="E470" s="45" t="s">
        <v>7</v>
      </c>
      <c r="G470" s="268" t="str">
        <f>CONCATENATE("Misc. Iron Scrap, Lying at ",C471,". Quantity in MT - ")</f>
        <v>Misc. Iron Scrap, Lying at OL Rajpura. Quantity in MT - </v>
      </c>
      <c r="H470" s="273" t="str">
        <f ca="1">CONCATENATE(G470,G471,(INDIRECT(I471)),(INDIRECT(J471)),(INDIRECT(K471)),(INDIRECT(L471)),(INDIRECT(M471)),(INDIRECT(N471)),(INDIRECT(O471)),(INDIRECT(P471)),(INDIRECT(Q471)),(INDIRECT(R471)),".")</f>
        <v>Misc. Iron Scrap, Lying at OL Rajpura. Quantity in MT - MS iron scrap - 0.148, .</v>
      </c>
      <c r="I470" s="128" t="str">
        <f aca="true" ca="1" t="array" ref="I470">CELL("address",INDEX(G470:G594,MATCH(TRUE,ISBLANK(G470:G594),0)))</f>
        <v>$G$472</v>
      </c>
      <c r="J470" s="128">
        <f aca="true" t="array" ref="J470">MATCH(TRUE,ISBLANK(G470:G594),0)</f>
        <v>3</v>
      </c>
      <c r="K470" s="128">
        <f>J470-3</f>
        <v>0</v>
      </c>
      <c r="L470" s="128"/>
      <c r="M470" s="128"/>
      <c r="N470" s="128"/>
      <c r="O470" s="128"/>
      <c r="P470" s="128"/>
      <c r="Q470" s="128"/>
      <c r="R470" s="128"/>
    </row>
    <row r="471" spans="1:18" ht="15" customHeight="1">
      <c r="A471" s="275" t="s">
        <v>210</v>
      </c>
      <c r="B471" s="275"/>
      <c r="C471" s="199" t="s">
        <v>105</v>
      </c>
      <c r="D471" s="47" t="s">
        <v>29</v>
      </c>
      <c r="E471" s="51">
        <v>0.148</v>
      </c>
      <c r="G471" s="194" t="str">
        <f>CONCATENATE(D471," - ",E471,", ")</f>
        <v>MS iron scrap - 0.148, </v>
      </c>
      <c r="H471" s="273"/>
      <c r="I471" s="128" t="str">
        <f ca="1">IF(J470&gt;=3,(MID(I470,2,1)&amp;MID(I470,4,3)-K470),CELL("address",Z471))</f>
        <v>G472</v>
      </c>
      <c r="J471" s="128" t="str">
        <f ca="1">IF(J470&gt;=4,(MID(I471,1,1)&amp;MID(I471,2,3)+1),CELL("address",AA471))</f>
        <v>$AA$471</v>
      </c>
      <c r="K471" s="128" t="str">
        <f ca="1">IF(J470&gt;=5,(MID(J471,1,1)&amp;MID(J471,2,3)+1),CELL("address",AB471))</f>
        <v>$AB$471</v>
      </c>
      <c r="L471" s="128" t="str">
        <f ca="1">IF(J470&gt;=6,(MID(K471,1,1)&amp;MID(K471,2,3)+1),CELL("address",AC471))</f>
        <v>$AC$471</v>
      </c>
      <c r="M471" s="128" t="str">
        <f ca="1">IF(J470&gt;=7,(MID(L471,1,1)&amp;MID(L471,2,3)+1),CELL("address",AD471))</f>
        <v>$AD$471</v>
      </c>
      <c r="N471" s="128" t="str">
        <f ca="1">IF(J470&gt;=8,(MID(M471,1,1)&amp;MID(M471,2,3)+1),CELL("address",AE471))</f>
        <v>$AE$471</v>
      </c>
      <c r="O471" s="128" t="str">
        <f ca="1">IF(J470&gt;=9,(MID(N471,1,1)&amp;MID(N471,2,3)+1),CELL("address",AF471))</f>
        <v>$AF$471</v>
      </c>
      <c r="P471" s="128" t="str">
        <f ca="1">IF(J470&gt;=10,(MID(O471,1,1)&amp;MID(O471,2,3)+1),CELL("address",AG471))</f>
        <v>$AG$471</v>
      </c>
      <c r="Q471" s="128" t="str">
        <f ca="1">IF(J470&gt;=11,(MID(P471,1,1)&amp;MID(P471,2,3)+1),CELL("address",AH471))</f>
        <v>$AH$471</v>
      </c>
      <c r="R471" s="128" t="str">
        <f ca="1">IF(J470&gt;=12,(MID(Q471,1,1)&amp;MID(Q471,2,3)+1),CELL("address",AI471))</f>
        <v>$AI$471</v>
      </c>
    </row>
    <row r="472" spans="1:18" ht="15" customHeight="1">
      <c r="A472" s="44"/>
      <c r="B472" s="46"/>
      <c r="C472" s="53"/>
      <c r="D472" s="46"/>
      <c r="E472" s="68"/>
      <c r="G472" s="123"/>
      <c r="H472" s="13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</row>
    <row r="473" spans="1:18" ht="15" customHeight="1">
      <c r="A473" s="59"/>
      <c r="B473" s="60"/>
      <c r="C473" s="60"/>
      <c r="D473" s="63"/>
      <c r="E473" s="58">
        <f>SUM(E475:E475)</f>
        <v>2</v>
      </c>
      <c r="G473" s="123"/>
      <c r="H473" s="13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</row>
    <row r="474" spans="1:18" ht="15" customHeight="1">
      <c r="A474" s="276" t="s">
        <v>5</v>
      </c>
      <c r="B474" s="276"/>
      <c r="C474" s="85" t="s">
        <v>17</v>
      </c>
      <c r="D474" s="226" t="s">
        <v>18</v>
      </c>
      <c r="E474" s="45" t="s">
        <v>70</v>
      </c>
      <c r="G474" s="268" t="str">
        <f>CONCATENATE("U/S Tyres, Lying at ",C475,". Quantity in No - ")</f>
        <v>U/S Tyres, Lying at CS Sangrur. Quantity in No - </v>
      </c>
      <c r="H474" s="273" t="str">
        <f ca="1">CONCATENATE(G474,G475,(INDIRECT(I475)),(INDIRECT(J475)),(INDIRECT(K475)),(INDIRECT(L475)),(INDIRECT(M475)),(INDIRECT(N475)),(INDIRECT(O475)),(INDIRECT(P475)),(INDIRECT(Q475)),(INDIRECT(R475)),".")</f>
        <v>U/S Tyres, Lying at CS Sangrur. Quantity in No - U/S Tyres - 2, .</v>
      </c>
      <c r="I474" s="128" t="str">
        <f aca="true" ca="1" t="array" ref="I474">CELL("address",INDEX(G474:G598,MATCH(TRUE,ISBLANK(G474:G598),0)))</f>
        <v>$G$476</v>
      </c>
      <c r="J474" s="128">
        <f aca="true" t="array" ref="J474">MATCH(TRUE,ISBLANK(G474:G598),0)</f>
        <v>3</v>
      </c>
      <c r="K474" s="128">
        <f>J474-3</f>
        <v>0</v>
      </c>
      <c r="L474" s="128"/>
      <c r="M474" s="128"/>
      <c r="N474" s="128"/>
      <c r="O474" s="128"/>
      <c r="P474" s="128"/>
      <c r="Q474" s="128"/>
      <c r="R474" s="128"/>
    </row>
    <row r="475" spans="1:18" ht="15" customHeight="1">
      <c r="A475" s="275" t="s">
        <v>178</v>
      </c>
      <c r="B475" s="275"/>
      <c r="C475" s="226" t="s">
        <v>80</v>
      </c>
      <c r="D475" s="47" t="s">
        <v>398</v>
      </c>
      <c r="E475" s="51">
        <v>2</v>
      </c>
      <c r="F475" s="1" t="s">
        <v>327</v>
      </c>
      <c r="G475" s="194" t="str">
        <f>CONCATENATE(D475," - ",E475,", ")</f>
        <v>U/S Tyres - 2, </v>
      </c>
      <c r="H475" s="273"/>
      <c r="I475" s="128" t="str">
        <f ca="1">IF(J474&gt;=3,(MID(I474,2,1)&amp;MID(I474,4,3)-K474),CELL("address",Z475))</f>
        <v>G476</v>
      </c>
      <c r="J475" s="128" t="str">
        <f ca="1">IF(J474&gt;=4,(MID(I475,1,1)&amp;MID(I475,2,3)+1),CELL("address",AA475))</f>
        <v>$AA$475</v>
      </c>
      <c r="K475" s="128" t="str">
        <f ca="1">IF(J474&gt;=5,(MID(J475,1,1)&amp;MID(J475,2,3)+1),CELL("address",AB475))</f>
        <v>$AB$475</v>
      </c>
      <c r="L475" s="128" t="str">
        <f ca="1">IF(J474&gt;=6,(MID(K475,1,1)&amp;MID(K475,2,3)+1),CELL("address",AC475))</f>
        <v>$AC$475</v>
      </c>
      <c r="M475" s="128" t="str">
        <f ca="1">IF(J474&gt;=7,(MID(L475,1,1)&amp;MID(L475,2,3)+1),CELL("address",AD475))</f>
        <v>$AD$475</v>
      </c>
      <c r="N475" s="128" t="str">
        <f ca="1">IF(J474&gt;=8,(MID(M475,1,1)&amp;MID(M475,2,3)+1),CELL("address",AE475))</f>
        <v>$AE$475</v>
      </c>
      <c r="O475" s="128" t="str">
        <f ca="1">IF(J474&gt;=9,(MID(N475,1,1)&amp;MID(N475,2,3)+1),CELL("address",AF475))</f>
        <v>$AF$475</v>
      </c>
      <c r="P475" s="128" t="str">
        <f ca="1">IF(J474&gt;=10,(MID(O475,1,1)&amp;MID(O475,2,3)+1),CELL("address",AG475))</f>
        <v>$AG$475</v>
      </c>
      <c r="Q475" s="128" t="str">
        <f ca="1">IF(J474&gt;=11,(MID(P475,1,1)&amp;MID(P475,2,3)+1),CELL("address",AH475))</f>
        <v>$AH$475</v>
      </c>
      <c r="R475" s="128" t="str">
        <f ca="1">IF(J474&gt;=12,(MID(Q475,1,1)&amp;MID(Q475,2,3)+1),CELL("address",AI475))</f>
        <v>$AI$475</v>
      </c>
    </row>
    <row r="476" spans="1:18" ht="15" customHeight="1">
      <c r="A476" s="44"/>
      <c r="B476" s="46"/>
      <c r="C476" s="53"/>
      <c r="D476" s="46"/>
      <c r="E476" s="68"/>
      <c r="G476" s="123"/>
      <c r="H476" s="13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</row>
    <row r="477" spans="1:18" ht="15" customHeight="1">
      <c r="A477" s="59"/>
      <c r="B477" s="60"/>
      <c r="C477" s="60"/>
      <c r="D477" s="63"/>
      <c r="E477" s="58">
        <f>SUM(E479:E480)</f>
        <v>105</v>
      </c>
      <c r="G477" s="123"/>
      <c r="H477" s="13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</row>
    <row r="478" spans="1:18" ht="15" customHeight="1">
      <c r="A478" s="276" t="s">
        <v>5</v>
      </c>
      <c r="B478" s="276"/>
      <c r="C478" s="85" t="s">
        <v>17</v>
      </c>
      <c r="D478" s="226" t="s">
        <v>18</v>
      </c>
      <c r="E478" s="45" t="s">
        <v>70</v>
      </c>
      <c r="G478" s="268" t="str">
        <f>CONCATENATE("U/S Tyres/Tubes, Lying at ",C479,". Quantity in No - ")</f>
        <v>U/S Tyres/Tubes, Lying at CS Patiala. Quantity in No - </v>
      </c>
      <c r="H478" s="273" t="str">
        <f ca="1">CONCATENATE(G478,G479,(INDIRECT(I479)),(INDIRECT(J479)),(INDIRECT(K479)),(INDIRECT(L479)),(INDIRECT(M479)),(INDIRECT(N479)),(INDIRECT(O479)),(INDIRECT(P479)),(INDIRECT(Q479)),(INDIRECT(R479)),".")</f>
        <v>U/S Tyres/Tubes, Lying at CS Patiala. Quantity in No - U/S Tyres - 60, U/S Tubes - 45, .</v>
      </c>
      <c r="I478" s="128" t="str">
        <f aca="true" ca="1" t="array" ref="I478">CELL("address",INDEX(G478:G602,MATCH(TRUE,ISBLANK(G478:G602),0)))</f>
        <v>$G$481</v>
      </c>
      <c r="J478" s="128">
        <f aca="true" t="array" ref="J478">MATCH(TRUE,ISBLANK(G478:G602),0)</f>
        <v>4</v>
      </c>
      <c r="K478" s="128">
        <f>J478-3</f>
        <v>1</v>
      </c>
      <c r="L478" s="128"/>
      <c r="M478" s="128"/>
      <c r="N478" s="128"/>
      <c r="O478" s="128"/>
      <c r="P478" s="128"/>
      <c r="Q478" s="128"/>
      <c r="R478" s="128"/>
    </row>
    <row r="479" spans="1:18" ht="15" customHeight="1">
      <c r="A479" s="275" t="s">
        <v>179</v>
      </c>
      <c r="B479" s="275"/>
      <c r="C479" s="274" t="s">
        <v>53</v>
      </c>
      <c r="D479" s="45" t="s">
        <v>398</v>
      </c>
      <c r="E479" s="251">
        <v>60</v>
      </c>
      <c r="F479" s="1" t="s">
        <v>327</v>
      </c>
      <c r="G479" s="194" t="str">
        <f>CONCATENATE(D479," - ",E479,", ")</f>
        <v>U/S Tyres - 60, </v>
      </c>
      <c r="H479" s="273"/>
      <c r="I479" s="128" t="str">
        <f ca="1">IF(J478&gt;=3,(MID(I478,2,1)&amp;MID(I478,4,3)-K478),CELL("address",Z479))</f>
        <v>G480</v>
      </c>
      <c r="J479" s="128" t="str">
        <f ca="1">IF(J478&gt;=4,(MID(I479,1,1)&amp;MID(I479,2,3)+1),CELL("address",AA479))</f>
        <v>G481</v>
      </c>
      <c r="K479" s="128" t="str">
        <f ca="1">IF(J478&gt;=5,(MID(J479,1,1)&amp;MID(J479,2,3)+1),CELL("address",AB479))</f>
        <v>$AB$479</v>
      </c>
      <c r="L479" s="128" t="str">
        <f ca="1">IF(J478&gt;=6,(MID(K479,1,1)&amp;MID(K479,2,3)+1),CELL("address",AC479))</f>
        <v>$AC$479</v>
      </c>
      <c r="M479" s="128" t="str">
        <f ca="1">IF(J478&gt;=7,(MID(L479,1,1)&amp;MID(L479,2,3)+1),CELL("address",AD479))</f>
        <v>$AD$479</v>
      </c>
      <c r="N479" s="128" t="str">
        <f ca="1">IF(J478&gt;=8,(MID(M479,1,1)&amp;MID(M479,2,3)+1),CELL("address",AE479))</f>
        <v>$AE$479</v>
      </c>
      <c r="O479" s="128" t="str">
        <f ca="1">IF(J478&gt;=9,(MID(N479,1,1)&amp;MID(N479,2,3)+1),CELL("address",AF479))</f>
        <v>$AF$479</v>
      </c>
      <c r="P479" s="128" t="str">
        <f ca="1">IF(J478&gt;=10,(MID(O479,1,1)&amp;MID(O479,2,3)+1),CELL("address",AG479))</f>
        <v>$AG$479</v>
      </c>
      <c r="Q479" s="128" t="str">
        <f ca="1">IF(J478&gt;=11,(MID(P479,1,1)&amp;MID(P479,2,3)+1),CELL("address",AH479))</f>
        <v>$AH$479</v>
      </c>
      <c r="R479" s="128" t="str">
        <f ca="1">IF(J478&gt;=12,(MID(Q479,1,1)&amp;MID(Q479,2,3)+1),CELL("address",AI479))</f>
        <v>$AI$479</v>
      </c>
    </row>
    <row r="480" spans="1:18" ht="15" customHeight="1">
      <c r="A480" s="275"/>
      <c r="B480" s="275"/>
      <c r="C480" s="274"/>
      <c r="D480" s="45" t="s">
        <v>399</v>
      </c>
      <c r="E480" s="251">
        <v>45</v>
      </c>
      <c r="F480" s="1" t="s">
        <v>327</v>
      </c>
      <c r="G480" s="194" t="str">
        <f>CONCATENATE(D480," - ",E480,", ")</f>
        <v>U/S Tubes - 45, </v>
      </c>
      <c r="H480" s="13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</row>
    <row r="481" spans="1:18" ht="15" customHeight="1">
      <c r="A481" s="44"/>
      <c r="B481" s="46"/>
      <c r="C481" s="53"/>
      <c r="D481" s="215"/>
      <c r="E481" s="64"/>
      <c r="G481" s="123"/>
      <c r="H481" s="13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</row>
    <row r="482" spans="1:18" ht="15" customHeight="1">
      <c r="A482" s="59"/>
      <c r="B482" s="60"/>
      <c r="C482" s="60"/>
      <c r="D482" s="63"/>
      <c r="E482" s="58">
        <f>SUM(E484:E484)</f>
        <v>0.155</v>
      </c>
      <c r="G482" s="123"/>
      <c r="H482" s="13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</row>
    <row r="483" spans="1:18" ht="15" customHeight="1">
      <c r="A483" s="276" t="s">
        <v>5</v>
      </c>
      <c r="B483" s="276"/>
      <c r="C483" s="85" t="s">
        <v>17</v>
      </c>
      <c r="D483" s="226" t="s">
        <v>18</v>
      </c>
      <c r="E483" s="45" t="s">
        <v>7</v>
      </c>
      <c r="G483" s="268" t="str">
        <f>CONCATENATE("Tubular Poles, Lying at ",C484,". Quantity in MT - ")</f>
        <v>Tubular Poles, Lying at CS Sangrur. Quantity in MT - </v>
      </c>
      <c r="H483" s="273" t="str">
        <f ca="1">CONCATENATE(G483,G484,(INDIRECT(I484)),(INDIRECT(J484)),(INDIRECT(K484)),(INDIRECT(L484)),(INDIRECT(M484)),(INDIRECT(N484)),(INDIRECT(O484)),(INDIRECT(P484)),(INDIRECT(Q484)),(INDIRECT(R484)),".")</f>
        <v>Tubular Poles, Lying at CS Sangrur. Quantity in MT - Tubular Poles - 0.155, .</v>
      </c>
      <c r="I483" s="128" t="str">
        <f aca="true" ca="1" t="array" ref="I483">CELL("address",INDEX(G483:G607,MATCH(TRUE,ISBLANK(G483:G607),0)))</f>
        <v>$G$485</v>
      </c>
      <c r="J483" s="128">
        <f aca="true" t="array" ref="J483">MATCH(TRUE,ISBLANK(G483:G607),0)</f>
        <v>3</v>
      </c>
      <c r="K483" s="128">
        <f>J483-3</f>
        <v>0</v>
      </c>
      <c r="L483" s="128"/>
      <c r="M483" s="128"/>
      <c r="N483" s="128"/>
      <c r="O483" s="128"/>
      <c r="P483" s="128"/>
      <c r="Q483" s="128"/>
      <c r="R483" s="128"/>
    </row>
    <row r="484" spans="1:18" ht="15" customHeight="1">
      <c r="A484" s="275" t="s">
        <v>328</v>
      </c>
      <c r="B484" s="275"/>
      <c r="C484" s="226" t="s">
        <v>80</v>
      </c>
      <c r="D484" s="47" t="s">
        <v>404</v>
      </c>
      <c r="E484" s="51">
        <v>0.155</v>
      </c>
      <c r="F484" s="1" t="s">
        <v>246</v>
      </c>
      <c r="G484" s="194" t="str">
        <f>CONCATENATE(D484," - ",E484,", ")</f>
        <v>Tubular Poles - 0.155, </v>
      </c>
      <c r="H484" s="273"/>
      <c r="I484" s="128" t="str">
        <f ca="1">IF(J483&gt;=3,(MID(I483,2,1)&amp;MID(I483,4,3)-K483),CELL("address",Z484))</f>
        <v>G485</v>
      </c>
      <c r="J484" s="128" t="str">
        <f ca="1">IF(J483&gt;=4,(MID(I484,1,1)&amp;MID(I484,2,3)+1),CELL("address",AA484))</f>
        <v>$AA$484</v>
      </c>
      <c r="K484" s="128" t="str">
        <f ca="1">IF(J483&gt;=5,(MID(J484,1,1)&amp;MID(J484,2,3)+1),CELL("address",AB484))</f>
        <v>$AB$484</v>
      </c>
      <c r="L484" s="128" t="str">
        <f ca="1">IF(J483&gt;=6,(MID(K484,1,1)&amp;MID(K484,2,3)+1),CELL("address",AC484))</f>
        <v>$AC$484</v>
      </c>
      <c r="M484" s="128" t="str">
        <f ca="1">IF(J483&gt;=7,(MID(L484,1,1)&amp;MID(L484,2,3)+1),CELL("address",AD484))</f>
        <v>$AD$484</v>
      </c>
      <c r="N484" s="128" t="str">
        <f ca="1">IF(J483&gt;=8,(MID(M484,1,1)&amp;MID(M484,2,3)+1),CELL("address",AE484))</f>
        <v>$AE$484</v>
      </c>
      <c r="O484" s="128" t="str">
        <f ca="1">IF(J483&gt;=9,(MID(N484,1,1)&amp;MID(N484,2,3)+1),CELL("address",AF484))</f>
        <v>$AF$484</v>
      </c>
      <c r="P484" s="128" t="str">
        <f ca="1">IF(J483&gt;=10,(MID(O484,1,1)&amp;MID(O484,2,3)+1),CELL("address",AG484))</f>
        <v>$AG$484</v>
      </c>
      <c r="Q484" s="128" t="str">
        <f ca="1">IF(J483&gt;=11,(MID(P484,1,1)&amp;MID(P484,2,3)+1),CELL("address",AH484))</f>
        <v>$AH$484</v>
      </c>
      <c r="R484" s="128" t="str">
        <f ca="1">IF(J483&gt;=12,(MID(Q484,1,1)&amp;MID(Q484,2,3)+1),CELL("address",AI484))</f>
        <v>$AI$484</v>
      </c>
    </row>
    <row r="485" spans="1:18" ht="15" customHeight="1">
      <c r="A485" s="44"/>
      <c r="B485" s="46"/>
      <c r="C485" s="53"/>
      <c r="D485" s="215"/>
      <c r="E485" s="64"/>
      <c r="G485" s="123"/>
      <c r="H485" s="13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</row>
    <row r="486" spans="1:18" ht="15" customHeight="1">
      <c r="A486" s="59"/>
      <c r="B486" s="60"/>
      <c r="C486" s="60"/>
      <c r="D486" s="63"/>
      <c r="E486" s="58">
        <f>SUM(E488:E488)</f>
        <v>0.282</v>
      </c>
      <c r="G486" s="123"/>
      <c r="H486" s="13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</row>
    <row r="487" spans="1:18" ht="15" customHeight="1">
      <c r="A487" s="276" t="s">
        <v>5</v>
      </c>
      <c r="B487" s="276"/>
      <c r="C487" s="85" t="s">
        <v>17</v>
      </c>
      <c r="D487" s="226" t="s">
        <v>18</v>
      </c>
      <c r="E487" s="45" t="s">
        <v>7</v>
      </c>
      <c r="G487" s="268" t="str">
        <f>CONCATENATE("Tubular Poles, Lying at ",C488,". Quantity in MT - ")</f>
        <v>Tubular Poles, Lying at OL Barnala. Quantity in MT - </v>
      </c>
      <c r="H487" s="273" t="str">
        <f ca="1">CONCATENATE(G487,G488,(INDIRECT(I488)),(INDIRECT(J488)),(INDIRECT(K488)),(INDIRECT(L488)),(INDIRECT(M488)),(INDIRECT(N488)),(INDIRECT(O488)),(INDIRECT(P488)),(INDIRECT(Q488)),(INDIRECT(R488)),".")</f>
        <v>Tubular Poles, Lying at OL Barnala. Quantity in MT - Tubular Poles - 0.282, .</v>
      </c>
      <c r="I487" s="128" t="str">
        <f aca="true" ca="1" t="array" ref="I487">CELL("address",INDEX(G487:G611,MATCH(TRUE,ISBLANK(G487:G611),0)))</f>
        <v>$G$489</v>
      </c>
      <c r="J487" s="128">
        <f aca="true" t="array" ref="J487">MATCH(TRUE,ISBLANK(G487:G611),0)</f>
        <v>3</v>
      </c>
      <c r="K487" s="128">
        <f>J487-3</f>
        <v>0</v>
      </c>
      <c r="L487" s="128"/>
      <c r="M487" s="128"/>
      <c r="N487" s="128"/>
      <c r="O487" s="128"/>
      <c r="P487" s="128"/>
      <c r="Q487" s="128"/>
      <c r="R487" s="128"/>
    </row>
    <row r="488" spans="1:18" ht="15" customHeight="1">
      <c r="A488" s="275" t="s">
        <v>405</v>
      </c>
      <c r="B488" s="275"/>
      <c r="C488" s="226" t="s">
        <v>192</v>
      </c>
      <c r="D488" s="47" t="s">
        <v>404</v>
      </c>
      <c r="E488" s="51">
        <v>0.282</v>
      </c>
      <c r="F488" s="1" t="s">
        <v>327</v>
      </c>
      <c r="G488" s="194" t="str">
        <f>CONCATENATE(D488," - ",E488,", ")</f>
        <v>Tubular Poles - 0.282, </v>
      </c>
      <c r="H488" s="273"/>
      <c r="I488" s="128" t="str">
        <f ca="1">IF(J487&gt;=3,(MID(I487,2,1)&amp;MID(I487,4,3)-K487),CELL("address",Z488))</f>
        <v>G489</v>
      </c>
      <c r="J488" s="128" t="str">
        <f ca="1">IF(J487&gt;=4,(MID(I488,1,1)&amp;MID(I488,2,3)+1),CELL("address",AA488))</f>
        <v>$AA$488</v>
      </c>
      <c r="K488" s="128" t="str">
        <f ca="1">IF(J487&gt;=5,(MID(J488,1,1)&amp;MID(J488,2,3)+1),CELL("address",AB488))</f>
        <v>$AB$488</v>
      </c>
      <c r="L488" s="128" t="str">
        <f ca="1">IF(J487&gt;=6,(MID(K488,1,1)&amp;MID(K488,2,3)+1),CELL("address",AC488))</f>
        <v>$AC$488</v>
      </c>
      <c r="M488" s="128" t="str">
        <f ca="1">IF(J487&gt;=7,(MID(L488,1,1)&amp;MID(L488,2,3)+1),CELL("address",AD488))</f>
        <v>$AD$488</v>
      </c>
      <c r="N488" s="128" t="str">
        <f ca="1">IF(J487&gt;=8,(MID(M488,1,1)&amp;MID(M488,2,3)+1),CELL("address",AE488))</f>
        <v>$AE$488</v>
      </c>
      <c r="O488" s="128" t="str">
        <f ca="1">IF(J487&gt;=9,(MID(N488,1,1)&amp;MID(N488,2,3)+1),CELL("address",AF488))</f>
        <v>$AF$488</v>
      </c>
      <c r="P488" s="128" t="str">
        <f ca="1">IF(J487&gt;=10,(MID(O488,1,1)&amp;MID(O488,2,3)+1),CELL("address",AG488))</f>
        <v>$AG$488</v>
      </c>
      <c r="Q488" s="128" t="str">
        <f ca="1">IF(J487&gt;=11,(MID(P488,1,1)&amp;MID(P488,2,3)+1),CELL("address",AH488))</f>
        <v>$AH$488</v>
      </c>
      <c r="R488" s="128" t="str">
        <f ca="1">IF(J487&gt;=12,(MID(Q488,1,1)&amp;MID(Q488,2,3)+1),CELL("address",AI488))</f>
        <v>$AI$488</v>
      </c>
    </row>
    <row r="489" spans="1:18" ht="15" customHeight="1">
      <c r="A489" s="44"/>
      <c r="B489" s="46"/>
      <c r="C489" s="53"/>
      <c r="D489" s="215"/>
      <c r="E489" s="64"/>
      <c r="G489" s="123"/>
      <c r="H489" s="13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</row>
    <row r="490" spans="1:18" ht="15" customHeight="1">
      <c r="A490" s="59"/>
      <c r="B490" s="60"/>
      <c r="C490" s="60"/>
      <c r="D490" s="63"/>
      <c r="E490" s="58">
        <f>SUM(E492:E492)</f>
        <v>0.095</v>
      </c>
      <c r="G490" s="123"/>
      <c r="H490" s="13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</row>
    <row r="491" spans="1:18" ht="15" customHeight="1">
      <c r="A491" s="276" t="s">
        <v>5</v>
      </c>
      <c r="B491" s="276"/>
      <c r="C491" s="85" t="s">
        <v>17</v>
      </c>
      <c r="D491" s="226" t="s">
        <v>18</v>
      </c>
      <c r="E491" s="45" t="s">
        <v>7</v>
      </c>
      <c r="G491" s="268" t="str">
        <f>CONCATENATE("Piller box scrap, Lying at ",C492,". Quantity in MT - ")</f>
        <v>Piller box scrap, Lying at CS Mohali. Quantity in MT - </v>
      </c>
      <c r="H491" s="273" t="str">
        <f ca="1">CONCATENATE(G491,G492,(INDIRECT(I492)),(INDIRECT(J492)),(INDIRECT(K492)),(INDIRECT(L492)),(INDIRECT(M492)),(INDIRECT(N492)),(INDIRECT(O492)),(INDIRECT(P492)),(INDIRECT(Q492)),(INDIRECT(R492)),".")</f>
        <v>Piller box scrap, Lying at CS Mohali. Quantity in MT - Piller box scrap - 0.095, .</v>
      </c>
      <c r="I491" s="128" t="str">
        <f aca="true" ca="1" t="array" ref="I491">CELL("address",INDEX(G491:G615,MATCH(TRUE,ISBLANK(G491:G615),0)))</f>
        <v>$G$493</v>
      </c>
      <c r="J491" s="128">
        <f aca="true" t="array" ref="J491">MATCH(TRUE,ISBLANK(G491:G615),0)</f>
        <v>3</v>
      </c>
      <c r="K491" s="128">
        <f>J491-3</f>
        <v>0</v>
      </c>
      <c r="L491" s="128"/>
      <c r="M491" s="128"/>
      <c r="N491" s="128"/>
      <c r="O491" s="128"/>
      <c r="P491" s="128"/>
      <c r="Q491" s="128"/>
      <c r="R491" s="128"/>
    </row>
    <row r="492" spans="1:18" ht="15" customHeight="1">
      <c r="A492" s="275" t="s">
        <v>194</v>
      </c>
      <c r="B492" s="275"/>
      <c r="C492" s="226" t="s">
        <v>63</v>
      </c>
      <c r="D492" s="47" t="s">
        <v>409</v>
      </c>
      <c r="E492" s="51">
        <v>0.095</v>
      </c>
      <c r="F492" s="1" t="s">
        <v>327</v>
      </c>
      <c r="G492" s="194" t="str">
        <f>CONCATENATE(D492," - ",E492,", ")</f>
        <v>Piller box scrap - 0.095, </v>
      </c>
      <c r="H492" s="273"/>
      <c r="I492" s="128" t="str">
        <f ca="1">IF(J491&gt;=3,(MID(I491,2,1)&amp;MID(I491,4,3)-K491),CELL("address",Z492))</f>
        <v>G493</v>
      </c>
      <c r="J492" s="128" t="str">
        <f ca="1">IF(J491&gt;=4,(MID(I492,1,1)&amp;MID(I492,2,3)+1),CELL("address",AA492))</f>
        <v>$AA$492</v>
      </c>
      <c r="K492" s="128" t="str">
        <f ca="1">IF(J491&gt;=5,(MID(J492,1,1)&amp;MID(J492,2,3)+1),CELL("address",AB492))</f>
        <v>$AB$492</v>
      </c>
      <c r="L492" s="128" t="str">
        <f ca="1">IF(J491&gt;=6,(MID(K492,1,1)&amp;MID(K492,2,3)+1),CELL("address",AC492))</f>
        <v>$AC$492</v>
      </c>
      <c r="M492" s="128" t="str">
        <f ca="1">IF(J491&gt;=7,(MID(L492,1,1)&amp;MID(L492,2,3)+1),CELL("address",AD492))</f>
        <v>$AD$492</v>
      </c>
      <c r="N492" s="128" t="str">
        <f ca="1">IF(J491&gt;=8,(MID(M492,1,1)&amp;MID(M492,2,3)+1),CELL("address",AE492))</f>
        <v>$AE$492</v>
      </c>
      <c r="O492" s="128" t="str">
        <f ca="1">IF(J491&gt;=9,(MID(N492,1,1)&amp;MID(N492,2,3)+1),CELL("address",AF492))</f>
        <v>$AF$492</v>
      </c>
      <c r="P492" s="128" t="str">
        <f ca="1">IF(J491&gt;=10,(MID(O492,1,1)&amp;MID(O492,2,3)+1),CELL("address",AG492))</f>
        <v>$AG$492</v>
      </c>
      <c r="Q492" s="128" t="str">
        <f ca="1">IF(J491&gt;=11,(MID(P492,1,1)&amp;MID(P492,2,3)+1),CELL("address",AH492))</f>
        <v>$AH$492</v>
      </c>
      <c r="R492" s="128" t="str">
        <f ca="1">IF(J491&gt;=12,(MID(Q492,1,1)&amp;MID(Q492,2,3)+1),CELL("address",AI492))</f>
        <v>$AI$492</v>
      </c>
    </row>
    <row r="493" spans="1:18" ht="15" customHeight="1">
      <c r="A493" s="44"/>
      <c r="B493" s="46"/>
      <c r="C493" s="53"/>
      <c r="D493" s="215"/>
      <c r="E493" s="64"/>
      <c r="G493" s="123"/>
      <c r="H493" s="13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</row>
    <row r="494" spans="1:18" ht="15" customHeight="1">
      <c r="A494" s="59"/>
      <c r="B494" s="60"/>
      <c r="C494" s="60"/>
      <c r="D494" s="63"/>
      <c r="E494" s="58">
        <f>SUM(E496:E496)</f>
        <v>0.93</v>
      </c>
      <c r="G494" s="123"/>
      <c r="H494" s="13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</row>
    <row r="495" spans="1:18" ht="15" customHeight="1">
      <c r="A495" s="276" t="s">
        <v>5</v>
      </c>
      <c r="B495" s="276"/>
      <c r="C495" s="85" t="s">
        <v>17</v>
      </c>
      <c r="D495" s="226" t="s">
        <v>18</v>
      </c>
      <c r="E495" s="45" t="s">
        <v>7</v>
      </c>
      <c r="G495" s="268" t="str">
        <f>CONCATENATE("Iron scrap of bush fixings, Lying at ",C496,". Quantity in MT - ")</f>
        <v>Iron scrap of bush fixings, Lying at CS Patiala. Quantity in MT - </v>
      </c>
      <c r="H495" s="273" t="str">
        <f ca="1">CONCATENATE(G495,G496,(INDIRECT(I496)),(INDIRECT(J496)),(INDIRECT(K496)),(INDIRECT(L496)),(INDIRECT(M496)),(INDIRECT(N496)),(INDIRECT(O496)),(INDIRECT(P496)),(INDIRECT(Q496)),(INDIRECT(R496)),".")</f>
        <v>Iron scrap of bush fixings, Lying at CS Patiala. Quantity in MT - Iron scrap of Bush fixings - 0.93, .</v>
      </c>
      <c r="I495" s="128" t="str">
        <f aca="true" ca="1" t="array" ref="I495">CELL("address",INDEX(G495:G619,MATCH(TRUE,ISBLANK(G495:G619),0)))</f>
        <v>$G$497</v>
      </c>
      <c r="J495" s="128">
        <f aca="true" t="array" ref="J495">MATCH(TRUE,ISBLANK(G495:G619),0)</f>
        <v>3</v>
      </c>
      <c r="K495" s="128">
        <f>J495-3</f>
        <v>0</v>
      </c>
      <c r="L495" s="128"/>
      <c r="M495" s="128"/>
      <c r="N495" s="128"/>
      <c r="O495" s="128"/>
      <c r="P495" s="128"/>
      <c r="Q495" s="128"/>
      <c r="R495" s="128"/>
    </row>
    <row r="496" spans="1:18" ht="15" customHeight="1">
      <c r="A496" s="275" t="s">
        <v>214</v>
      </c>
      <c r="B496" s="275"/>
      <c r="C496" s="226" t="s">
        <v>53</v>
      </c>
      <c r="D496" s="47" t="s">
        <v>412</v>
      </c>
      <c r="E496" s="51">
        <v>0.93</v>
      </c>
      <c r="F496" s="1" t="s">
        <v>327</v>
      </c>
      <c r="G496" s="194" t="str">
        <f>CONCATENATE(D496," - ",E496,", ")</f>
        <v>Iron scrap of Bush fixings - 0.93, </v>
      </c>
      <c r="H496" s="273"/>
      <c r="I496" s="128" t="str">
        <f ca="1">IF(J495&gt;=3,(MID(I495,2,1)&amp;MID(I495,4,3)-K495),CELL("address",Z496))</f>
        <v>G497</v>
      </c>
      <c r="J496" s="128" t="str">
        <f ca="1">IF(J495&gt;=4,(MID(I496,1,1)&amp;MID(I496,2,3)+1),CELL("address",AA496))</f>
        <v>$AA$496</v>
      </c>
      <c r="K496" s="128" t="str">
        <f ca="1">IF(J495&gt;=5,(MID(J496,1,1)&amp;MID(J496,2,3)+1),CELL("address",AB496))</f>
        <v>$AB$496</v>
      </c>
      <c r="L496" s="128" t="str">
        <f ca="1">IF(J495&gt;=6,(MID(K496,1,1)&amp;MID(K496,2,3)+1),CELL("address",AC496))</f>
        <v>$AC$496</v>
      </c>
      <c r="M496" s="128" t="str">
        <f ca="1">IF(J495&gt;=7,(MID(L496,1,1)&amp;MID(L496,2,3)+1),CELL("address",AD496))</f>
        <v>$AD$496</v>
      </c>
      <c r="N496" s="128" t="str">
        <f ca="1">IF(J495&gt;=8,(MID(M496,1,1)&amp;MID(M496,2,3)+1),CELL("address",AE496))</f>
        <v>$AE$496</v>
      </c>
      <c r="O496" s="128" t="str">
        <f ca="1">IF(J495&gt;=9,(MID(N496,1,1)&amp;MID(N496,2,3)+1),CELL("address",AF496))</f>
        <v>$AF$496</v>
      </c>
      <c r="P496" s="128" t="str">
        <f ca="1">IF(J495&gt;=10,(MID(O496,1,1)&amp;MID(O496,2,3)+1),CELL("address",AG496))</f>
        <v>$AG$496</v>
      </c>
      <c r="Q496" s="128" t="str">
        <f ca="1">IF(J495&gt;=11,(MID(P496,1,1)&amp;MID(P496,2,3)+1),CELL("address",AH496))</f>
        <v>$AH$496</v>
      </c>
      <c r="R496" s="128" t="str">
        <f ca="1">IF(J495&gt;=12,(MID(Q496,1,1)&amp;MID(Q496,2,3)+1),CELL("address",AI496))</f>
        <v>$AI$496</v>
      </c>
    </row>
    <row r="497" spans="1:8" ht="15" customHeight="1">
      <c r="A497" s="44"/>
      <c r="B497" s="46"/>
      <c r="C497" s="53"/>
      <c r="D497" s="215"/>
      <c r="E497" s="64"/>
      <c r="G497" s="123"/>
      <c r="H497" s="132"/>
    </row>
    <row r="498" spans="1:8" ht="18.75" customHeight="1">
      <c r="A498" s="301" t="s">
        <v>293</v>
      </c>
      <c r="B498" s="302"/>
      <c r="C498" s="302"/>
      <c r="D498" s="302"/>
      <c r="E498" s="303"/>
      <c r="H498" s="132"/>
    </row>
    <row r="499" spans="1:8" ht="15" customHeight="1">
      <c r="A499" s="277" t="s">
        <v>5</v>
      </c>
      <c r="B499" s="278"/>
      <c r="C499" s="277" t="s">
        <v>6</v>
      </c>
      <c r="D499" s="278"/>
      <c r="E499" s="199" t="s">
        <v>7</v>
      </c>
      <c r="G499" s="122"/>
      <c r="H499" s="133"/>
    </row>
    <row r="500" spans="1:8" ht="15" customHeight="1">
      <c r="A500" s="275" t="s">
        <v>126</v>
      </c>
      <c r="B500" s="275"/>
      <c r="C500" s="338" t="s">
        <v>114</v>
      </c>
      <c r="D500" s="338"/>
      <c r="E500" s="89">
        <v>1.293</v>
      </c>
      <c r="G500" s="123"/>
      <c r="H500" s="121" t="str">
        <f aca="true" t="shared" si="3" ref="H500:H510">CONCATENATE("Wooden scrap (without iron parts), Lying at ",C500,". Quantity in MT - ",E500,)</f>
        <v>Wooden scrap (without iron parts), Lying at OL Fazilka. Quantity in MT - 1.293</v>
      </c>
    </row>
    <row r="501" spans="1:8" ht="15" customHeight="1">
      <c r="A501" s="275" t="s">
        <v>129</v>
      </c>
      <c r="B501" s="275"/>
      <c r="C501" s="275" t="s">
        <v>96</v>
      </c>
      <c r="D501" s="275"/>
      <c r="E501" s="89">
        <v>0.159</v>
      </c>
      <c r="H501" s="121" t="str">
        <f t="shared" si="3"/>
        <v>Wooden scrap (without iron parts), Lying at CS Malout. Quantity in MT - 0.159</v>
      </c>
    </row>
    <row r="502" spans="1:8" ht="15" customHeight="1">
      <c r="A502" s="275" t="s">
        <v>130</v>
      </c>
      <c r="B502" s="275"/>
      <c r="C502" s="338" t="s">
        <v>103</v>
      </c>
      <c r="D502" s="338"/>
      <c r="E502" s="51">
        <v>0.52</v>
      </c>
      <c r="H502" s="121" t="str">
        <f t="shared" si="3"/>
        <v>Wooden scrap (without iron parts), Lying at OL Patran. Quantity in MT - 0.52</v>
      </c>
    </row>
    <row r="503" spans="1:8" ht="15" customHeight="1">
      <c r="A503" s="275" t="s">
        <v>131</v>
      </c>
      <c r="B503" s="275"/>
      <c r="C503" s="275" t="s">
        <v>43</v>
      </c>
      <c r="D503" s="275"/>
      <c r="E503" s="51">
        <v>1.21</v>
      </c>
      <c r="F503" s="1">
        <v>0.97</v>
      </c>
      <c r="H503" s="121" t="str">
        <f t="shared" si="3"/>
        <v>Wooden scrap (without iron parts), Lying at CS Kotkapura. Quantity in MT - 1.21</v>
      </c>
    </row>
    <row r="504" spans="1:8" ht="15" customHeight="1">
      <c r="A504" s="275" t="s">
        <v>132</v>
      </c>
      <c r="B504" s="275"/>
      <c r="C504" s="275" t="s">
        <v>80</v>
      </c>
      <c r="D504" s="275"/>
      <c r="E504" s="51">
        <v>1.08</v>
      </c>
      <c r="H504" s="121" t="str">
        <f t="shared" si="3"/>
        <v>Wooden scrap (without iron parts), Lying at CS Sangrur. Quantity in MT - 1.08</v>
      </c>
    </row>
    <row r="505" spans="1:8" ht="15" customHeight="1">
      <c r="A505" s="275" t="s">
        <v>133</v>
      </c>
      <c r="B505" s="275"/>
      <c r="C505" s="338" t="s">
        <v>128</v>
      </c>
      <c r="D505" s="338"/>
      <c r="E505" s="51">
        <v>0.805</v>
      </c>
      <c r="H505" s="121" t="str">
        <f t="shared" si="3"/>
        <v>Wooden scrap (without iron parts), Lying at OL Malerkotla. Quantity in MT - 0.805</v>
      </c>
    </row>
    <row r="506" spans="1:8" ht="15" customHeight="1">
      <c r="A506" s="275" t="s">
        <v>139</v>
      </c>
      <c r="B506" s="275"/>
      <c r="C506" s="338" t="s">
        <v>101</v>
      </c>
      <c r="D506" s="338"/>
      <c r="E506" s="51">
        <v>0.112</v>
      </c>
      <c r="H506" s="121" t="str">
        <f t="shared" si="3"/>
        <v>Wooden scrap (without iron parts), Lying at OL Bhagta Bhai Ka. Quantity in MT - 0.112</v>
      </c>
    </row>
    <row r="507" spans="1:8" ht="15" customHeight="1">
      <c r="A507" s="275" t="s">
        <v>140</v>
      </c>
      <c r="B507" s="275"/>
      <c r="C507" s="338" t="s">
        <v>60</v>
      </c>
      <c r="D507" s="338"/>
      <c r="E507" s="51">
        <v>0.4</v>
      </c>
      <c r="H507" s="121" t="str">
        <f t="shared" si="3"/>
        <v>Wooden scrap (without iron parts), Lying at OL Mansa. Quantity in MT - 0.4</v>
      </c>
    </row>
    <row r="508" spans="1:8" ht="15" customHeight="1">
      <c r="A508" s="275" t="s">
        <v>141</v>
      </c>
      <c r="B508" s="275"/>
      <c r="C508" s="275" t="s">
        <v>100</v>
      </c>
      <c r="D508" s="275"/>
      <c r="E508" s="51">
        <v>4.39</v>
      </c>
      <c r="H508" s="121" t="str">
        <f t="shared" si="3"/>
        <v>Wooden scrap (without iron parts), Lying at CS Ferozepur. Quantity in MT - 4.39</v>
      </c>
    </row>
    <row r="509" spans="1:8" ht="15" customHeight="1">
      <c r="A509" s="275" t="s">
        <v>142</v>
      </c>
      <c r="B509" s="275"/>
      <c r="C509" s="338" t="s">
        <v>99</v>
      </c>
      <c r="D509" s="363"/>
      <c r="E509" s="51">
        <v>0.303</v>
      </c>
      <c r="H509" s="121" t="str">
        <f t="shared" si="3"/>
        <v>Wooden scrap (without iron parts), Lying at OL Ropar. Quantity in MT - 0.303</v>
      </c>
    </row>
    <row r="510" spans="1:8" ht="15" customHeight="1" thickBot="1">
      <c r="A510" s="275" t="s">
        <v>146</v>
      </c>
      <c r="B510" s="275"/>
      <c r="C510" s="338" t="s">
        <v>275</v>
      </c>
      <c r="D510" s="363"/>
      <c r="E510" s="166">
        <v>0.29</v>
      </c>
      <c r="F510" s="1" t="s">
        <v>327</v>
      </c>
      <c r="H510" s="121" t="str">
        <f t="shared" si="3"/>
        <v>Wooden scrap (without iron parts), Lying at OL Moga. Quantity in MT - 0.29</v>
      </c>
    </row>
    <row r="511" spans="1:8" ht="20.25" customHeight="1" thickBot="1">
      <c r="A511" s="314" t="s">
        <v>14</v>
      </c>
      <c r="B511" s="315"/>
      <c r="C511" s="213"/>
      <c r="D511" s="213"/>
      <c r="E511" s="259">
        <f>SUM(E500:E510)</f>
        <v>10.562000000000001</v>
      </c>
      <c r="H511" s="121"/>
    </row>
    <row r="512" spans="1:8" ht="15" customHeight="1">
      <c r="A512" s="22"/>
      <c r="B512" s="22"/>
      <c r="C512" s="17"/>
      <c r="D512" s="17"/>
      <c r="E512" s="16"/>
      <c r="H512" s="132"/>
    </row>
    <row r="513" spans="1:8" ht="15" customHeight="1">
      <c r="A513" s="345" t="s">
        <v>11</v>
      </c>
      <c r="B513" s="346"/>
      <c r="C513" s="346"/>
      <c r="D513" s="346"/>
      <c r="E513" s="347"/>
      <c r="H513" s="132"/>
    </row>
    <row r="514" spans="1:8" ht="15" customHeight="1">
      <c r="A514" s="18"/>
      <c r="B514" s="19"/>
      <c r="C514" s="19"/>
      <c r="D514" s="19"/>
      <c r="E514" s="20"/>
      <c r="H514" s="132"/>
    </row>
    <row r="515" spans="1:8" ht="15" customHeight="1">
      <c r="A515" s="325" t="s">
        <v>8</v>
      </c>
      <c r="B515" s="326"/>
      <c r="C515" s="326"/>
      <c r="D515" s="326"/>
      <c r="E515" s="327"/>
      <c r="H515" s="132"/>
    </row>
    <row r="516" spans="1:8" ht="15" customHeight="1">
      <c r="A516" s="45" t="s">
        <v>5</v>
      </c>
      <c r="B516" s="274" t="s">
        <v>17</v>
      </c>
      <c r="C516" s="274"/>
      <c r="D516" s="199" t="s">
        <v>18</v>
      </c>
      <c r="E516" s="45" t="s">
        <v>77</v>
      </c>
      <c r="H516" s="121"/>
    </row>
    <row r="517" spans="1:8" ht="15" customHeight="1">
      <c r="A517" s="45" t="s">
        <v>79</v>
      </c>
      <c r="B517" s="310" t="s">
        <v>110</v>
      </c>
      <c r="C517" s="310"/>
      <c r="D517" s="45" t="s">
        <v>78</v>
      </c>
      <c r="E517" s="66">
        <v>32</v>
      </c>
      <c r="F517" s="1">
        <v>26</v>
      </c>
      <c r="H517" s="121" t="str">
        <f>CONCATENATE("CT/PT Units, Lying at ",B517,". Quantity in No - ",E517,)</f>
        <v>CT/PT Units, Lying at Central Store Kotkapura. Quantity in No - 32</v>
      </c>
    </row>
    <row r="518" spans="1:8" ht="15" customHeight="1">
      <c r="A518" s="44"/>
      <c r="B518" s="95"/>
      <c r="C518" s="95"/>
      <c r="D518" s="215"/>
      <c r="E518" s="74"/>
      <c r="H518" s="132"/>
    </row>
    <row r="519" spans="1:8" ht="15" customHeight="1">
      <c r="A519" s="45" t="s">
        <v>5</v>
      </c>
      <c r="B519" s="274" t="s">
        <v>17</v>
      </c>
      <c r="C519" s="274"/>
      <c r="D519" s="199" t="s">
        <v>18</v>
      </c>
      <c r="E519" s="45" t="s">
        <v>77</v>
      </c>
      <c r="H519" s="132"/>
    </row>
    <row r="520" spans="1:8" ht="15" customHeight="1">
      <c r="A520" s="45" t="s">
        <v>123</v>
      </c>
      <c r="B520" s="310" t="s">
        <v>161</v>
      </c>
      <c r="C520" s="310"/>
      <c r="D520" s="45" t="s">
        <v>78</v>
      </c>
      <c r="E520" s="66">
        <v>21</v>
      </c>
      <c r="H520" s="121" t="str">
        <f>CONCATENATE("CT/PT Units, Lying at ",B520,". Quantity in No - ",E520,)</f>
        <v>CT/PT Units, Lying at Central Store Patiala. Quantity in No - 21</v>
      </c>
    </row>
    <row r="521" spans="1:8" ht="15" customHeight="1">
      <c r="A521" s="44"/>
      <c r="B521" s="102"/>
      <c r="C521" s="102"/>
      <c r="D521" s="46"/>
      <c r="E521" s="67"/>
      <c r="H521" s="132"/>
    </row>
    <row r="522" spans="1:8" ht="15" customHeight="1">
      <c r="A522" s="45" t="s">
        <v>5</v>
      </c>
      <c r="B522" s="274" t="s">
        <v>17</v>
      </c>
      <c r="C522" s="274"/>
      <c r="D522" s="199" t="s">
        <v>18</v>
      </c>
      <c r="E522" s="45" t="s">
        <v>77</v>
      </c>
      <c r="H522" s="132"/>
    </row>
    <row r="523" spans="1:8" ht="15" customHeight="1">
      <c r="A523" s="45" t="s">
        <v>199</v>
      </c>
      <c r="B523" s="310" t="s">
        <v>187</v>
      </c>
      <c r="C523" s="310"/>
      <c r="D523" s="45" t="s">
        <v>78</v>
      </c>
      <c r="E523" s="66">
        <v>39</v>
      </c>
      <c r="H523" s="121" t="str">
        <f>CONCATENATE("CT/PT Units, Lying at ",B523,". Quantity in No - ",E523,)</f>
        <v>CT/PT Units, Lying at Outlet store Ropar. Quantity in No - 39</v>
      </c>
    </row>
    <row r="524" spans="1:8" ht="15" customHeight="1">
      <c r="A524" s="44"/>
      <c r="B524" s="102"/>
      <c r="C524" s="102"/>
      <c r="D524" s="215"/>
      <c r="E524" s="74"/>
      <c r="H524" s="132"/>
    </row>
    <row r="525" spans="1:8" ht="15" customHeight="1">
      <c r="A525" s="45" t="s">
        <v>5</v>
      </c>
      <c r="B525" s="274" t="s">
        <v>17</v>
      </c>
      <c r="C525" s="274"/>
      <c r="D525" s="199" t="s">
        <v>18</v>
      </c>
      <c r="E525" s="45" t="s">
        <v>77</v>
      </c>
      <c r="H525" s="132"/>
    </row>
    <row r="526" spans="1:8" ht="15" customHeight="1">
      <c r="A526" s="45" t="s">
        <v>208</v>
      </c>
      <c r="B526" s="310" t="s">
        <v>211</v>
      </c>
      <c r="C526" s="310"/>
      <c r="D526" s="45" t="s">
        <v>78</v>
      </c>
      <c r="E526" s="66">
        <v>37</v>
      </c>
      <c r="H526" s="121" t="str">
        <f>CONCATENATE("CT/PT Units, Lying at ",B526,". Quantity in No - ",E526,)</f>
        <v>CT/PT Units, Lying at Central Store Sangrur. Quantity in No - 37</v>
      </c>
    </row>
    <row r="527" spans="1:8" ht="15" customHeight="1">
      <c r="A527" s="44"/>
      <c r="B527" s="102"/>
      <c r="C527" s="102"/>
      <c r="D527" s="215"/>
      <c r="E527" s="74"/>
      <c r="H527" s="121"/>
    </row>
    <row r="528" spans="1:8" ht="15" customHeight="1">
      <c r="A528" s="45" t="s">
        <v>5</v>
      </c>
      <c r="B528" s="274" t="s">
        <v>17</v>
      </c>
      <c r="C528" s="274"/>
      <c r="D528" s="199" t="s">
        <v>18</v>
      </c>
      <c r="E528" s="45" t="s">
        <v>77</v>
      </c>
      <c r="H528" s="121"/>
    </row>
    <row r="529" spans="1:8" ht="15" customHeight="1">
      <c r="A529" s="45" t="s">
        <v>284</v>
      </c>
      <c r="B529" s="310" t="s">
        <v>299</v>
      </c>
      <c r="C529" s="310"/>
      <c r="D529" s="45" t="s">
        <v>78</v>
      </c>
      <c r="E529" s="66">
        <v>32</v>
      </c>
      <c r="H529" s="121" t="str">
        <f>CONCATENATE("CT/PT Units, Lying at ",B529,". Quantity in No - ",E529,)</f>
        <v>CT/PT Units, Lying at Central Store Bathinda. Quantity in No - 32</v>
      </c>
    </row>
    <row r="530" spans="1:8" ht="15" customHeight="1">
      <c r="A530" s="44"/>
      <c r="B530" s="102"/>
      <c r="C530" s="102"/>
      <c r="D530" s="46"/>
      <c r="E530" s="67"/>
      <c r="H530" s="121"/>
    </row>
    <row r="531" spans="1:8" ht="15" customHeight="1">
      <c r="A531" s="45" t="s">
        <v>5</v>
      </c>
      <c r="B531" s="274" t="s">
        <v>17</v>
      </c>
      <c r="C531" s="274"/>
      <c r="D531" s="226" t="s">
        <v>18</v>
      </c>
      <c r="E531" s="45" t="s">
        <v>77</v>
      </c>
      <c r="H531" s="121"/>
    </row>
    <row r="532" spans="1:8" ht="15" customHeight="1">
      <c r="A532" s="45" t="s">
        <v>300</v>
      </c>
      <c r="B532" s="310" t="s">
        <v>161</v>
      </c>
      <c r="C532" s="310"/>
      <c r="D532" s="45" t="s">
        <v>410</v>
      </c>
      <c r="E532" s="66">
        <v>43</v>
      </c>
      <c r="F532" s="1" t="s">
        <v>246</v>
      </c>
      <c r="H532" s="121" t="str">
        <f>CONCATENATE("U/S CT, Lying at ",B532,". Quantity in No - ",E532,)</f>
        <v>U/S CT, Lying at Central Store Patiala. Quantity in No - 43</v>
      </c>
    </row>
    <row r="533" spans="1:8" ht="15" customHeight="1">
      <c r="A533" s="44"/>
      <c r="B533" s="102"/>
      <c r="C533" s="102"/>
      <c r="D533" s="46"/>
      <c r="E533" s="67"/>
      <c r="H533" s="121"/>
    </row>
    <row r="534" spans="1:8" ht="15" customHeight="1">
      <c r="A534" s="45" t="s">
        <v>5</v>
      </c>
      <c r="B534" s="274" t="s">
        <v>17</v>
      </c>
      <c r="C534" s="274"/>
      <c r="D534" s="199" t="s">
        <v>18</v>
      </c>
      <c r="E534" s="45" t="s">
        <v>77</v>
      </c>
      <c r="H534" s="121"/>
    </row>
    <row r="535" spans="1:8" ht="15" customHeight="1">
      <c r="A535" s="45" t="s">
        <v>335</v>
      </c>
      <c r="B535" s="310" t="s">
        <v>110</v>
      </c>
      <c r="C535" s="310"/>
      <c r="D535" s="45" t="s">
        <v>285</v>
      </c>
      <c r="E535" s="66">
        <v>168</v>
      </c>
      <c r="F535" s="1">
        <v>167</v>
      </c>
      <c r="H535" s="121" t="str">
        <f>CONCATENATE("Empty steel drums (cap 209 ltrs), Lying at ",B535,". Quantity in No - ",E535,)</f>
        <v>Empty steel drums (cap 209 ltrs), Lying at Central Store Kotkapura. Quantity in No - 168</v>
      </c>
    </row>
    <row r="536" spans="1:8" ht="15" customHeight="1">
      <c r="A536" s="44"/>
      <c r="B536" s="102"/>
      <c r="C536" s="102"/>
      <c r="D536" s="46"/>
      <c r="E536" s="67"/>
      <c r="H536" s="121"/>
    </row>
    <row r="537" spans="1:8" ht="15" customHeight="1">
      <c r="A537" s="45" t="s">
        <v>5</v>
      </c>
      <c r="B537" s="274" t="s">
        <v>17</v>
      </c>
      <c r="C537" s="274"/>
      <c r="D537" s="199" t="s">
        <v>18</v>
      </c>
      <c r="E537" s="45" t="s">
        <v>77</v>
      </c>
      <c r="H537" s="121"/>
    </row>
    <row r="538" spans="1:8" ht="15" customHeight="1">
      <c r="A538" s="45" t="s">
        <v>353</v>
      </c>
      <c r="B538" s="310" t="s">
        <v>334</v>
      </c>
      <c r="C538" s="310"/>
      <c r="D538" s="45" t="s">
        <v>285</v>
      </c>
      <c r="E538" s="66">
        <v>53</v>
      </c>
      <c r="H538" s="121" t="str">
        <f>CONCATENATE("Empty steel drums (cap 209 ltrs), Lying at ",B538,". Quantity in No - ",E538,)</f>
        <v>Empty steel drums (cap 209 ltrs), Lying at Central Store Malout. Quantity in No - 53</v>
      </c>
    </row>
    <row r="539" spans="1:8" ht="15" customHeight="1">
      <c r="A539" s="44"/>
      <c r="B539" s="102"/>
      <c r="C539" s="102"/>
      <c r="D539" s="215"/>
      <c r="E539" s="74"/>
      <c r="H539" s="121"/>
    </row>
    <row r="540" spans="1:8" ht="15" customHeight="1">
      <c r="A540" s="45" t="s">
        <v>5</v>
      </c>
      <c r="B540" s="274" t="s">
        <v>17</v>
      </c>
      <c r="C540" s="274"/>
      <c r="D540" s="199" t="s">
        <v>18</v>
      </c>
      <c r="E540" s="45" t="s">
        <v>77</v>
      </c>
      <c r="H540" s="121"/>
    </row>
    <row r="541" spans="1:8" ht="15" customHeight="1">
      <c r="A541" s="45" t="s">
        <v>411</v>
      </c>
      <c r="B541" s="310" t="s">
        <v>187</v>
      </c>
      <c r="C541" s="310"/>
      <c r="D541" s="45" t="s">
        <v>285</v>
      </c>
      <c r="E541" s="66">
        <v>13</v>
      </c>
      <c r="H541" s="121" t="str">
        <f>CONCATENATE("Empty steel drums (cap 209 ltrs), Lying at ",B541,". Quantity in No - ",E541,)</f>
        <v>Empty steel drums (cap 209 ltrs), Lying at Outlet store Ropar. Quantity in No - 13</v>
      </c>
    </row>
    <row r="542" spans="1:8" ht="15" customHeight="1">
      <c r="A542" s="44"/>
      <c r="B542" s="102"/>
      <c r="C542" s="102"/>
      <c r="D542" s="215"/>
      <c r="E542" s="74"/>
      <c r="H542" s="122"/>
    </row>
    <row r="543" spans="1:8" ht="15" customHeight="1">
      <c r="A543" s="319" t="s">
        <v>16</v>
      </c>
      <c r="B543" s="320"/>
      <c r="C543" s="320"/>
      <c r="D543" s="320"/>
      <c r="E543" s="321"/>
      <c r="H543" s="130"/>
    </row>
    <row r="544" spans="1:8" ht="15" customHeight="1">
      <c r="A544" s="23"/>
      <c r="B544" s="24"/>
      <c r="C544" s="24"/>
      <c r="D544" s="24"/>
      <c r="E544" s="25"/>
      <c r="H544" s="130"/>
    </row>
    <row r="545" spans="1:8" ht="15" customHeight="1">
      <c r="A545" s="328" t="s">
        <v>15</v>
      </c>
      <c r="B545" s="329"/>
      <c r="C545" s="329"/>
      <c r="D545" s="329"/>
      <c r="E545" s="330"/>
      <c r="H545" s="130"/>
    </row>
    <row r="546" spans="1:8" ht="15" customHeight="1">
      <c r="A546" s="209"/>
      <c r="B546" s="210"/>
      <c r="C546" s="210"/>
      <c r="D546" s="210"/>
      <c r="E546" s="211"/>
      <c r="H546" s="130"/>
    </row>
    <row r="547" spans="1:8" ht="15" customHeight="1">
      <c r="A547" s="322" t="s">
        <v>49</v>
      </c>
      <c r="B547" s="323"/>
      <c r="C547" s="323"/>
      <c r="D547" s="323"/>
      <c r="E547" s="324"/>
      <c r="H547" s="130"/>
    </row>
    <row r="548" spans="1:11" ht="38.25" customHeight="1">
      <c r="A548" s="15" t="s">
        <v>5</v>
      </c>
      <c r="B548" s="15" t="s">
        <v>1</v>
      </c>
      <c r="C548" s="15" t="s">
        <v>2</v>
      </c>
      <c r="D548" s="15" t="s">
        <v>3</v>
      </c>
      <c r="E548" s="15" t="s">
        <v>4</v>
      </c>
      <c r="G548" s="137"/>
      <c r="H548" s="136"/>
      <c r="I548" s="124"/>
      <c r="J548" s="124"/>
      <c r="K548" s="125"/>
    </row>
    <row r="549" spans="1:8" ht="25.5" customHeight="1">
      <c r="A549" s="12" t="s">
        <v>111</v>
      </c>
      <c r="B549" s="12" t="s">
        <v>89</v>
      </c>
      <c r="C549" s="12" t="s">
        <v>107</v>
      </c>
      <c r="D549" s="12" t="s">
        <v>90</v>
      </c>
      <c r="E549" s="28" t="s">
        <v>259</v>
      </c>
      <c r="G549" s="122"/>
      <c r="H549" s="133" t="str">
        <f>CONCATENATE("Condemned/obsolete Vehicles  (Without RC )--- ",B549," ",C549," ",E549," ",)</f>
        <v>Condemned/obsolete Vehicles  (Without RC )--- PB-11 AH-0925 HONDA CIVIC CAR (PETROL) 2008 …. CE/ TA &amp; I PSPCL PATIALA 96461-19587 </v>
      </c>
    </row>
    <row r="550" spans="1:8" ht="25.5" customHeight="1">
      <c r="A550" s="12" t="s">
        <v>153</v>
      </c>
      <c r="B550" s="27" t="s">
        <v>150</v>
      </c>
      <c r="C550" s="27" t="s">
        <v>151</v>
      </c>
      <c r="D550" s="27" t="s">
        <v>152</v>
      </c>
      <c r="E550" s="27" t="s">
        <v>260</v>
      </c>
      <c r="G550" s="122"/>
      <c r="H550" s="133" t="str">
        <f>CONCATENATE("Condemned/obsolete Vehicles  (Without RC )--- ",B550," ",C550," ",E550," ",)</f>
        <v>Condemned/obsolete Vehicles  (Without RC )--- PB-05 F-9520 MINI TRUCK EICHER DIESEL (1999) ….. DS S/D MAMDOT PSPCL FEROZEPUR MOB 9646114589 </v>
      </c>
    </row>
    <row r="551" spans="1:8" ht="25.5" customHeight="1">
      <c r="A551" s="12" t="s">
        <v>156</v>
      </c>
      <c r="B551" s="27" t="s">
        <v>157</v>
      </c>
      <c r="C551" s="27" t="s">
        <v>158</v>
      </c>
      <c r="D551" s="27" t="s">
        <v>159</v>
      </c>
      <c r="E551" s="27" t="s">
        <v>261</v>
      </c>
      <c r="G551" s="122"/>
      <c r="H551" s="133" t="str">
        <f>CONCATENATE("Condemned/obsolete Vehicles  (Without RC )--- ",B551," ",C551," ",E551," ",)</f>
        <v>Condemned/obsolete Vehicles  (Without RC )--- PB-03 N-5547 AMBASSADOR CAR DIESEL (2005) ….. DS DIVISION BADAL 96461-14534 </v>
      </c>
    </row>
    <row r="552" spans="1:8" ht="15" customHeight="1">
      <c r="A552" s="21"/>
      <c r="B552" s="26"/>
      <c r="C552" s="26"/>
      <c r="D552" s="21"/>
      <c r="E552" s="21"/>
      <c r="H552" s="130"/>
    </row>
    <row r="553" spans="1:8" ht="15" customHeight="1">
      <c r="A553" s="333" t="s">
        <v>50</v>
      </c>
      <c r="B553" s="334"/>
      <c r="C553" s="334"/>
      <c r="D553" s="334"/>
      <c r="E553" s="335"/>
      <c r="H553" s="130"/>
    </row>
    <row r="554" spans="1:8" ht="15" customHeight="1">
      <c r="A554" s="336" t="s">
        <v>108</v>
      </c>
      <c r="B554" s="337"/>
      <c r="C554" s="337"/>
      <c r="D554" s="337"/>
      <c r="E554" s="337"/>
      <c r="H554" s="130"/>
    </row>
    <row r="555" spans="1:8" ht="15" customHeight="1">
      <c r="A555" s="7"/>
      <c r="B555" s="8"/>
      <c r="C555" s="8"/>
      <c r="D555" s="8"/>
      <c r="E555" s="8"/>
      <c r="F555" s="162"/>
      <c r="G555" s="162"/>
      <c r="H555" s="130"/>
    </row>
    <row r="556" spans="1:8" ht="15" customHeight="1">
      <c r="A556" s="319" t="s">
        <v>25</v>
      </c>
      <c r="B556" s="320"/>
      <c r="C556" s="320"/>
      <c r="D556" s="320"/>
      <c r="E556" s="321"/>
      <c r="H556" s="130"/>
    </row>
    <row r="557" spans="1:8" ht="15" customHeight="1">
      <c r="A557" s="75"/>
      <c r="B557" s="75"/>
      <c r="C557" s="76"/>
      <c r="D557" s="76"/>
      <c r="E557" s="77">
        <f>SUM(E559:E562)</f>
        <v>4.129</v>
      </c>
      <c r="F557" s="162"/>
      <c r="H557" s="130"/>
    </row>
    <row r="558" spans="1:18" ht="15" customHeight="1">
      <c r="A558" s="283" t="s">
        <v>5</v>
      </c>
      <c r="B558" s="290"/>
      <c r="C558" s="78" t="s">
        <v>17</v>
      </c>
      <c r="D558" s="79" t="s">
        <v>18</v>
      </c>
      <c r="E558" s="78" t="s">
        <v>7</v>
      </c>
      <c r="F558" s="119"/>
      <c r="G558" s="121" t="str">
        <f>CONCATENATE("Misc. Healthy parts/ Non Ferrous  Scrap, Lying at ",C559,". Quantity in MT - ")</f>
        <v>Misc. Healthy parts/ Non Ferrous  Scrap, Lying at TRY Bathinda. Quantity in MT - </v>
      </c>
      <c r="H558" s="273" t="str">
        <f ca="1">CONCATENATE(G558,G559,(INDIRECT(I559)),(INDIRECT(J559)),(INDIRECT(K559)),(INDIRECT(L559)),(INDIRECT(M559)),(INDIRECT(N559)),(INDIRECT(O559)),(INDIRECT(P559)),(INDIRECT(Q559)),(INDIRECT(R559)),".")</f>
        <v>Misc. Healthy parts/ Non Ferrous  Scrap, Lying at TRY Bathinda. Quantity in MT - Brass scrap - 2.683, Misc. Aluminium scrap - 0.893, Burnt Cu scrap - 0.203, Nuts &amp; Bolts scrap - 0.35, .</v>
      </c>
      <c r="I558" s="128" t="str">
        <f aca="true" ca="1" t="array" ref="I558">CELL("address",INDEX(G558:G580,MATCH(TRUE,ISBLANK(G558:G580),0)))</f>
        <v>$G$563</v>
      </c>
      <c r="J558" s="128">
        <f aca="true" t="array" ref="J558">MATCH(TRUE,ISBLANK(G558:G580),0)</f>
        <v>6</v>
      </c>
      <c r="K558" s="128">
        <f>J558-3</f>
        <v>3</v>
      </c>
      <c r="L558" s="128"/>
      <c r="M558" s="128"/>
      <c r="N558" s="128"/>
      <c r="O558" s="128"/>
      <c r="P558" s="128"/>
      <c r="Q558" s="128"/>
      <c r="R558" s="128"/>
    </row>
    <row r="559" spans="1:18" ht="15" customHeight="1">
      <c r="A559" s="275" t="s">
        <v>34</v>
      </c>
      <c r="B559" s="275"/>
      <c r="C559" s="274" t="s">
        <v>36</v>
      </c>
      <c r="D559" s="45" t="s">
        <v>23</v>
      </c>
      <c r="E559" s="51">
        <v>2.683</v>
      </c>
      <c r="F559" s="119"/>
      <c r="G559" s="119" t="str">
        <f>CONCATENATE(D559," - ",E559,", ")</f>
        <v>Brass scrap - 2.683, </v>
      </c>
      <c r="H559" s="273"/>
      <c r="I559" s="128" t="str">
        <f ca="1">IF(J558&gt;=3,(MID(I558,2,1)&amp;MID(I558,4,4)-K558),CELL("address",Z559))</f>
        <v>G560</v>
      </c>
      <c r="J559" s="128" t="str">
        <f ca="1">IF(J558&gt;=4,(MID(I559,1,1)&amp;MID(I559,2,4)+1),CELL("address",AA559))</f>
        <v>G561</v>
      </c>
      <c r="K559" s="128" t="str">
        <f ca="1">IF(J558&gt;=5,(MID(J559,1,1)&amp;MID(J559,2,4)+1),CELL("address",AB559))</f>
        <v>G562</v>
      </c>
      <c r="L559" s="128" t="str">
        <f ca="1">IF(J558&gt;=6,(MID(K559,1,1)&amp;MID(K559,2,4)+1),CELL("address",AC559))</f>
        <v>G563</v>
      </c>
      <c r="M559" s="128" t="str">
        <f ca="1">IF(J558&gt;=7,(MID(L559,1,1)&amp;MID(L559,2,4)+1),CELL("address",AD559))</f>
        <v>$AD$559</v>
      </c>
      <c r="N559" s="128" t="str">
        <f ca="1">IF(J558&gt;=8,(MID(M559,1,1)&amp;MID(M559,2,4)+1),CELL("address",AE559))</f>
        <v>$AE$559</v>
      </c>
      <c r="O559" s="128" t="str">
        <f ca="1">IF(J558&gt;=9,(MID(N559,1,1)&amp;MID(N559,2,4)+1),CELL("address",AF559))</f>
        <v>$AF$559</v>
      </c>
      <c r="P559" s="128" t="str">
        <f ca="1">IF(J558&gt;=10,(MID(O559,1,1)&amp;MID(O559,2,4)+1),CELL("address",AG559))</f>
        <v>$AG$559</v>
      </c>
      <c r="Q559" s="128" t="str">
        <f ca="1">IF(J558&gt;=11,(MID(P559,1,1)&amp;MID(P559,2,4)+1),CELL("address",AH559))</f>
        <v>$AH$559</v>
      </c>
      <c r="R559" s="128" t="str">
        <f ca="1">IF(J558&gt;=12,(MID(Q559,1,1)&amp;MID(Q559,2,4)+1),CELL("address",AI559))</f>
        <v>$AI$559</v>
      </c>
    </row>
    <row r="560" spans="1:8" ht="15" customHeight="1">
      <c r="A560" s="275"/>
      <c r="B560" s="275"/>
      <c r="C560" s="274"/>
      <c r="D560" s="45" t="s">
        <v>24</v>
      </c>
      <c r="E560" s="51">
        <v>0.893</v>
      </c>
      <c r="F560" s="119"/>
      <c r="G560" s="119" t="str">
        <f>CONCATENATE(D560," - ",E560,", ")</f>
        <v>Misc. Aluminium scrap - 0.893, </v>
      </c>
      <c r="H560" s="132"/>
    </row>
    <row r="561" spans="1:8" ht="15" customHeight="1">
      <c r="A561" s="275"/>
      <c r="B561" s="275"/>
      <c r="C561" s="274"/>
      <c r="D561" s="45" t="s">
        <v>37</v>
      </c>
      <c r="E561" s="51">
        <v>0.203</v>
      </c>
      <c r="F561" s="119"/>
      <c r="G561" s="119" t="str">
        <f>CONCATENATE(D561," - ",E561,", ")</f>
        <v>Burnt Cu scrap - 0.203, </v>
      </c>
      <c r="H561" s="132"/>
    </row>
    <row r="562" spans="1:23" ht="15" customHeight="1">
      <c r="A562" s="275"/>
      <c r="B562" s="275"/>
      <c r="C562" s="274"/>
      <c r="D562" s="45" t="s">
        <v>59</v>
      </c>
      <c r="E562" s="51">
        <v>0.35</v>
      </c>
      <c r="F562" s="119"/>
      <c r="G562" s="119" t="str">
        <f>CONCATENATE(D562," - ",E562,", ")</f>
        <v>Nuts &amp; Bolts scrap - 0.35, </v>
      </c>
      <c r="H562" s="132"/>
      <c r="T562" s="311"/>
      <c r="U562" s="311"/>
      <c r="V562" s="311"/>
      <c r="W562" s="311"/>
    </row>
    <row r="563" spans="1:8" ht="15" customHeight="1">
      <c r="A563" s="283"/>
      <c r="B563" s="290"/>
      <c r="C563" s="199"/>
      <c r="D563" s="45"/>
      <c r="E563" s="51"/>
      <c r="F563" s="119"/>
      <c r="G563" s="119"/>
      <c r="H563" s="132"/>
    </row>
    <row r="564" spans="1:8" ht="17.25" customHeight="1">
      <c r="A564" s="288"/>
      <c r="B564" s="289"/>
      <c r="C564" s="81"/>
      <c r="D564" s="81"/>
      <c r="E564" s="82">
        <f>SUM(E566:E571)</f>
        <v>11.541</v>
      </c>
      <c r="F564" s="119"/>
      <c r="G564" s="119"/>
      <c r="H564" s="132"/>
    </row>
    <row r="565" spans="1:18" ht="17.25" customHeight="1">
      <c r="A565" s="304" t="s">
        <v>5</v>
      </c>
      <c r="B565" s="305"/>
      <c r="C565" s="78" t="s">
        <v>17</v>
      </c>
      <c r="D565" s="79" t="s">
        <v>18</v>
      </c>
      <c r="E565" s="78" t="s">
        <v>7</v>
      </c>
      <c r="F565" s="119"/>
      <c r="G565" s="121" t="str">
        <f>CONCATENATE("Misc. Healthy parts/ Non Ferrous  Scrap, Lying at ",C566,". Quantity in MT - ")</f>
        <v>Misc. Healthy parts/ Non Ferrous  Scrap, Lying at TRY Ferozepur. Quantity in MT - </v>
      </c>
      <c r="H565" s="309" t="str">
        <f ca="1">CONCATENATE(G565,G566,(INDIRECT(I566)),(INDIRECT(J566)),(INDIRECT(K566)),(INDIRECT(L566)),(INDIRECT(M566)),(INDIRECT(N566)),(INDIRECT(O566)),(INDIRECT(P566)),(INDIRECT(Q566)),(INDIRECT(R566)),".")</f>
        <v>Misc. Healthy parts/ Non Ferrous  Scrap, Lying at TRY Ferozepur. Quantity in MT - Brass scrap - 5.187, Misc. Aluminium scrap - 0.926, Iron scrap - 0.651, Burnt Cu scrap - 0.235, Nuts &amp; Bolts scrap - 4.092, Teen Patra scrap - 0.45, .</v>
      </c>
      <c r="I565" s="128" t="str">
        <f aca="true" ca="1" t="array" ref="I565">CELL("address",INDEX(G565:G587,MATCH(TRUE,ISBLANK(G565:G587),0)))</f>
        <v>$G$572</v>
      </c>
      <c r="J565" s="128">
        <f aca="true" t="array" ref="J565">MATCH(TRUE,ISBLANK(G565:G587),0)</f>
        <v>8</v>
      </c>
      <c r="K565" s="128">
        <f>J565-3</f>
        <v>5</v>
      </c>
      <c r="L565" s="128"/>
      <c r="M565" s="128"/>
      <c r="N565" s="128"/>
      <c r="O565" s="128"/>
      <c r="P565" s="128"/>
      <c r="Q565" s="128"/>
      <c r="R565" s="128"/>
    </row>
    <row r="566" spans="1:18" ht="17.25" customHeight="1">
      <c r="A566" s="275" t="s">
        <v>112</v>
      </c>
      <c r="B566" s="275"/>
      <c r="C566" s="274" t="s">
        <v>42</v>
      </c>
      <c r="D566" s="45" t="s">
        <v>23</v>
      </c>
      <c r="E566" s="51">
        <v>5.187</v>
      </c>
      <c r="F566" s="119"/>
      <c r="G566" s="119" t="str">
        <f aca="true" t="shared" si="4" ref="G566:G571">CONCATENATE(D566," - ",E566,", ")</f>
        <v>Brass scrap - 5.187, </v>
      </c>
      <c r="H566" s="309"/>
      <c r="I566" s="128" t="str">
        <f ca="1">IF(J565&gt;=3,(MID(I565,2,1)&amp;MID(I565,4,4)-K565),CELL("address",Z566))</f>
        <v>G567</v>
      </c>
      <c r="J566" s="128" t="str">
        <f ca="1">IF(J565&gt;=4,(MID(I566,1,1)&amp;MID(I566,2,4)+1),CELL("address",AA566))</f>
        <v>G568</v>
      </c>
      <c r="K566" s="128" t="str">
        <f ca="1">IF(J565&gt;=5,(MID(J566,1,1)&amp;MID(J566,2,4)+1),CELL("address",AB566))</f>
        <v>G569</v>
      </c>
      <c r="L566" s="128" t="str">
        <f ca="1">IF(J565&gt;=6,(MID(K566,1,1)&amp;MID(K566,2,4)+1),CELL("address",AC566))</f>
        <v>G570</v>
      </c>
      <c r="M566" s="128" t="str">
        <f ca="1">IF(J565&gt;=7,(MID(L566,1,1)&amp;MID(L566,2,4)+1),CELL("address",AD566))</f>
        <v>G571</v>
      </c>
      <c r="N566" s="128" t="str">
        <f ca="1">IF(J565&gt;=8,(MID(M566,1,1)&amp;MID(M566,2,4)+1),CELL("address",AE566))</f>
        <v>G572</v>
      </c>
      <c r="O566" s="128" t="str">
        <f ca="1">IF(J565&gt;=9,(MID(N566,1,1)&amp;MID(N566,2,4)+1),CELL("address",AF566))</f>
        <v>$AF$566</v>
      </c>
      <c r="P566" s="128" t="str">
        <f ca="1">IF(J565&gt;=10,(MID(O566,1,1)&amp;MID(O566,2,4)+1),CELL("address",AG566))</f>
        <v>$AG$566</v>
      </c>
      <c r="Q566" s="128" t="str">
        <f ca="1">IF(J565&gt;=11,(MID(P566,1,1)&amp;MID(P566,2,4)+1),CELL("address",AH566))</f>
        <v>$AH$566</v>
      </c>
      <c r="R566" s="128" t="str">
        <f ca="1">IF(J565&gt;=12,(MID(Q566,1,1)&amp;MID(Q566,2,4)+1),CELL("address",AI566))</f>
        <v>$AI$566</v>
      </c>
    </row>
    <row r="567" spans="1:8" ht="17.25" customHeight="1">
      <c r="A567" s="275"/>
      <c r="B567" s="275"/>
      <c r="C567" s="274"/>
      <c r="D567" s="45" t="s">
        <v>24</v>
      </c>
      <c r="E567" s="51">
        <v>0.926</v>
      </c>
      <c r="F567" s="119"/>
      <c r="G567" s="119" t="str">
        <f t="shared" si="4"/>
        <v>Misc. Aluminium scrap - 0.926, </v>
      </c>
      <c r="H567" s="132"/>
    </row>
    <row r="568" spans="1:8" ht="17.25" customHeight="1">
      <c r="A568" s="275"/>
      <c r="B568" s="275"/>
      <c r="C568" s="274"/>
      <c r="D568" s="45" t="s">
        <v>27</v>
      </c>
      <c r="E568" s="78">
        <v>0.651</v>
      </c>
      <c r="F568" s="119"/>
      <c r="G568" s="119" t="str">
        <f t="shared" si="4"/>
        <v>Iron scrap - 0.651, </v>
      </c>
      <c r="H568" s="132"/>
    </row>
    <row r="569" spans="1:8" ht="17.25" customHeight="1">
      <c r="A569" s="275"/>
      <c r="B569" s="275"/>
      <c r="C569" s="274"/>
      <c r="D569" s="45" t="s">
        <v>37</v>
      </c>
      <c r="E569" s="78">
        <v>0.235</v>
      </c>
      <c r="F569" s="119"/>
      <c r="G569" s="119" t="str">
        <f t="shared" si="4"/>
        <v>Burnt Cu scrap - 0.235, </v>
      </c>
      <c r="H569" s="132"/>
    </row>
    <row r="570" spans="1:8" ht="15" customHeight="1">
      <c r="A570" s="275"/>
      <c r="B570" s="275"/>
      <c r="C570" s="274"/>
      <c r="D570" s="45" t="s">
        <v>59</v>
      </c>
      <c r="E570" s="78">
        <v>4.092</v>
      </c>
      <c r="F570" s="119"/>
      <c r="G570" s="119" t="str">
        <f t="shared" si="4"/>
        <v>Nuts &amp; Bolts scrap - 4.092, </v>
      </c>
      <c r="H570" s="132"/>
    </row>
    <row r="571" spans="1:8" ht="15" customHeight="1">
      <c r="A571" s="275"/>
      <c r="B571" s="275"/>
      <c r="C571" s="274"/>
      <c r="D571" s="45" t="s">
        <v>65</v>
      </c>
      <c r="E571" s="80">
        <v>0.45</v>
      </c>
      <c r="F571" s="119"/>
      <c r="G571" s="119" t="str">
        <f t="shared" si="4"/>
        <v>Teen Patra scrap - 0.45, </v>
      </c>
      <c r="H571" s="132"/>
    </row>
    <row r="572" spans="1:8" ht="15" customHeight="1">
      <c r="A572" s="44"/>
      <c r="B572" s="47"/>
      <c r="C572" s="199"/>
      <c r="D572" s="45"/>
      <c r="E572" s="80"/>
      <c r="F572" s="119"/>
      <c r="G572" s="119"/>
      <c r="H572" s="132"/>
    </row>
    <row r="573" spans="1:8" ht="15" customHeight="1">
      <c r="A573" s="288"/>
      <c r="B573" s="289"/>
      <c r="C573" s="81"/>
      <c r="D573" s="81"/>
      <c r="E573" s="82">
        <f>SUM(E575:E579)</f>
        <v>3.672</v>
      </c>
      <c r="F573" s="119"/>
      <c r="G573" s="119"/>
      <c r="H573" s="132"/>
    </row>
    <row r="574" spans="1:18" ht="15" customHeight="1">
      <c r="A574" s="275" t="s">
        <v>5</v>
      </c>
      <c r="B574" s="275"/>
      <c r="C574" s="78" t="s">
        <v>17</v>
      </c>
      <c r="D574" s="79" t="s">
        <v>18</v>
      </c>
      <c r="E574" s="78" t="s">
        <v>7</v>
      </c>
      <c r="F574" s="119"/>
      <c r="G574" s="121" t="str">
        <f>CONCATENATE("Misc. Healthy parts/ Non Ferrous  Scrap, Lying at ",C575,". Quantity in MT - ")</f>
        <v>Misc. Healthy parts/ Non Ferrous  Scrap, Lying at OL store Ropar. Quantity in MT - </v>
      </c>
      <c r="H574" s="309" t="str">
        <f ca="1">CONCATENATE(G574,G575,(INDIRECT(I575)),(INDIRECT(J575)),(INDIRECT(K575)),(INDIRECT(L575)),(INDIRECT(M575)),(INDIRECT(N575)),(INDIRECT(O575)),(INDIRECT(P575)),(INDIRECT(Q575)),(INDIRECT(R575)),".")</f>
        <v>Misc. Healthy parts/ Non Ferrous  Scrap, Lying at OL store Ropar. Quantity in MT - Brass scrap - 2.473, Misc. Aluminium scrap - 0.346, Burnt Cu scrap - 0.298, All Alumn. Conductor Scrap - 0.317, Misc. Copper scrap - 0.238, .</v>
      </c>
      <c r="I574" s="128" t="str">
        <f aca="true" ca="1" t="array" ref="I574">CELL("address",INDEX(G574:G596,MATCH(TRUE,ISBLANK(G574:G596),0)))</f>
        <v>$G$580</v>
      </c>
      <c r="J574" s="128">
        <f aca="true" t="array" ref="J574">MATCH(TRUE,ISBLANK(G574:G596),0)</f>
        <v>7</v>
      </c>
      <c r="K574" s="128">
        <f>J574-3</f>
        <v>4</v>
      </c>
      <c r="L574" s="128"/>
      <c r="M574" s="128"/>
      <c r="N574" s="128"/>
      <c r="O574" s="128"/>
      <c r="P574" s="128"/>
      <c r="Q574" s="128"/>
      <c r="R574" s="128"/>
    </row>
    <row r="575" spans="1:18" ht="15" customHeight="1">
      <c r="A575" s="304" t="s">
        <v>26</v>
      </c>
      <c r="B575" s="305"/>
      <c r="C575" s="296" t="s">
        <v>46</v>
      </c>
      <c r="D575" s="45" t="s">
        <v>23</v>
      </c>
      <c r="E575" s="51">
        <v>2.473</v>
      </c>
      <c r="F575" s="119"/>
      <c r="G575" s="119" t="str">
        <f>CONCATENATE(D575," - ",E575,", ")</f>
        <v>Brass scrap - 2.473, </v>
      </c>
      <c r="H575" s="309"/>
      <c r="I575" s="128" t="str">
        <f ca="1">IF(J574&gt;=3,(MID(I574,2,1)&amp;MID(I574,4,4)-K574),CELL("address",Z575))</f>
        <v>G576</v>
      </c>
      <c r="J575" s="128" t="str">
        <f ca="1">IF(J574&gt;=4,(MID(I575,1,1)&amp;MID(I575,2,4)+1),CELL("address",AA575))</f>
        <v>G577</v>
      </c>
      <c r="K575" s="128" t="str">
        <f ca="1">IF(J574&gt;=5,(MID(J575,1,1)&amp;MID(J575,2,4)+1),CELL("address",AB575))</f>
        <v>G578</v>
      </c>
      <c r="L575" s="128" t="str">
        <f ca="1">IF(J574&gt;=6,(MID(K575,1,1)&amp;MID(K575,2,4)+1),CELL("address",AC575))</f>
        <v>G579</v>
      </c>
      <c r="M575" s="128" t="str">
        <f ca="1">IF(J574&gt;=7,(MID(L575,1,1)&amp;MID(L575,2,4)+1),CELL("address",AD575))</f>
        <v>G580</v>
      </c>
      <c r="N575" s="128" t="str">
        <f ca="1">IF(J574&gt;=8,(MID(M575,1,1)&amp;MID(M575,2,4)+1),CELL("address",AE575))</f>
        <v>$AE$575</v>
      </c>
      <c r="O575" s="128" t="str">
        <f ca="1">IF(J574&gt;=9,(MID(N575,1,1)&amp;MID(N575,2,4)+1),CELL("address",AF575))</f>
        <v>$AF$575</v>
      </c>
      <c r="P575" s="128" t="str">
        <f ca="1">IF(J574&gt;=10,(MID(O575,1,1)&amp;MID(O575,2,4)+1),CELL("address",AG575))</f>
        <v>$AG$575</v>
      </c>
      <c r="Q575" s="128" t="str">
        <f ca="1">IF(J574&gt;=11,(MID(P575,1,1)&amp;MID(P575,2,4)+1),CELL("address",AH575))</f>
        <v>$AH$575</v>
      </c>
      <c r="R575" s="128" t="str">
        <f ca="1">IF(J574&gt;=12,(MID(Q575,1,1)&amp;MID(Q575,2,4)+1),CELL("address",AI575))</f>
        <v>$AI$575</v>
      </c>
    </row>
    <row r="576" spans="1:8" ht="15" customHeight="1">
      <c r="A576" s="317"/>
      <c r="B576" s="318"/>
      <c r="C576" s="297"/>
      <c r="D576" s="45" t="s">
        <v>24</v>
      </c>
      <c r="E576" s="51">
        <v>0.346</v>
      </c>
      <c r="F576" s="119"/>
      <c r="G576" s="119" t="str">
        <f>CONCATENATE(D576," - ",E576,", ")</f>
        <v>Misc. Aluminium scrap - 0.346, </v>
      </c>
      <c r="H576" s="132"/>
    </row>
    <row r="577" spans="1:8" ht="15" customHeight="1">
      <c r="A577" s="317"/>
      <c r="B577" s="318"/>
      <c r="C577" s="297"/>
      <c r="D577" s="44" t="s">
        <v>37</v>
      </c>
      <c r="E577" s="51">
        <v>0.298</v>
      </c>
      <c r="F577" s="119"/>
      <c r="G577" s="119" t="str">
        <f>CONCATENATE(D577," - ",E577,", ")</f>
        <v>Burnt Cu scrap - 0.298, </v>
      </c>
      <c r="H577" s="132"/>
    </row>
    <row r="578" spans="1:8" ht="15" customHeight="1">
      <c r="A578" s="317"/>
      <c r="B578" s="318"/>
      <c r="C578" s="297"/>
      <c r="D578" s="50" t="s">
        <v>32</v>
      </c>
      <c r="E578" s="51">
        <v>0.317</v>
      </c>
      <c r="F578" s="119"/>
      <c r="G578" s="119" t="str">
        <f>CONCATENATE(D578," - ",E578,", ")</f>
        <v>All Alumn. Conductor Scrap - 0.317, </v>
      </c>
      <c r="H578" s="132"/>
    </row>
    <row r="579" spans="1:8" ht="15" customHeight="1">
      <c r="A579" s="331"/>
      <c r="B579" s="332"/>
      <c r="C579" s="298"/>
      <c r="D579" s="45" t="s">
        <v>45</v>
      </c>
      <c r="E579" s="51">
        <v>0.238</v>
      </c>
      <c r="F579" s="119"/>
      <c r="G579" s="119" t="str">
        <f>CONCATENATE(D579," - ",E579,", ")</f>
        <v>Misc. Copper scrap - 0.238, </v>
      </c>
      <c r="H579" s="132"/>
    </row>
    <row r="580" spans="1:8" ht="15" customHeight="1">
      <c r="A580" s="55"/>
      <c r="B580" s="71"/>
      <c r="C580" s="206"/>
      <c r="D580" s="45"/>
      <c r="E580" s="51"/>
      <c r="F580" s="119"/>
      <c r="G580" s="119"/>
      <c r="H580" s="132"/>
    </row>
    <row r="581" spans="1:8" ht="15" customHeight="1">
      <c r="A581" s="288"/>
      <c r="B581" s="289"/>
      <c r="C581" s="81"/>
      <c r="D581" s="81"/>
      <c r="E581" s="82">
        <f>SUM(E583:E584)</f>
        <v>2.408</v>
      </c>
      <c r="F581" s="119"/>
      <c r="G581" s="119"/>
      <c r="H581" s="132"/>
    </row>
    <row r="582" spans="1:18" ht="15" customHeight="1">
      <c r="A582" s="275" t="s">
        <v>5</v>
      </c>
      <c r="B582" s="275"/>
      <c r="C582" s="78" t="s">
        <v>17</v>
      </c>
      <c r="D582" s="79" t="s">
        <v>18</v>
      </c>
      <c r="E582" s="78" t="s">
        <v>7</v>
      </c>
      <c r="F582" s="119"/>
      <c r="G582" s="121" t="str">
        <f>CONCATENATE("Misc. Healthy parts/ Non Ferrous  Scrap, Lying at ",C583,". Quantity in MT - ")</f>
        <v>Misc. Healthy parts/ Non Ferrous  Scrap, Lying at TRY Ferozepur. Quantity in MT - </v>
      </c>
      <c r="H582" s="309" t="str">
        <f ca="1">CONCATENATE(G582,G583,(INDIRECT(I583)),(INDIRECT(J583)),(INDIRECT(K583)),(INDIRECT(L583)),(INDIRECT(M583)),(INDIRECT(N583)),(INDIRECT(O583)),(INDIRECT(P583)),(INDIRECT(Q583)),(INDIRECT(R583)),".")</f>
        <v>Misc. Healthy parts/ Non Ferrous  Scrap, Lying at TRY Ferozepur. Quantity in MT - Brass scrap - 2.09, Misc. Alumn. Scrap - 0.318, .</v>
      </c>
      <c r="I582" s="128" t="str">
        <f aca="true" ca="1" t="array" ref="I582">CELL("address",INDEX(G582:G604,MATCH(TRUE,ISBLANK(G582:G604),0)))</f>
        <v>$G$585</v>
      </c>
      <c r="J582" s="128">
        <f aca="true" t="array" ref="J582">MATCH(TRUE,ISBLANK(G582:G604),0)</f>
        <v>4</v>
      </c>
      <c r="K582" s="128">
        <f>J582-3</f>
        <v>1</v>
      </c>
      <c r="L582" s="128"/>
      <c r="M582" s="128"/>
      <c r="N582" s="128"/>
      <c r="O582" s="128"/>
      <c r="P582" s="128"/>
      <c r="Q582" s="128"/>
      <c r="R582" s="128"/>
    </row>
    <row r="583" spans="1:18" ht="15" customHeight="1">
      <c r="A583" s="275" t="s">
        <v>38</v>
      </c>
      <c r="B583" s="275"/>
      <c r="C583" s="274" t="s">
        <v>42</v>
      </c>
      <c r="D583" s="50" t="s">
        <v>23</v>
      </c>
      <c r="E583" s="52">
        <v>2.09</v>
      </c>
      <c r="F583" s="119"/>
      <c r="G583" s="119" t="str">
        <f>CONCATENATE(D583," - ",E583,", ")</f>
        <v>Brass scrap - 2.09, </v>
      </c>
      <c r="H583" s="309"/>
      <c r="I583" s="128" t="str">
        <f ca="1">IF(J582&gt;=3,(MID(I582,2,1)&amp;MID(I582,4,4)-K582),CELL("address",Z583))</f>
        <v>G584</v>
      </c>
      <c r="J583" s="128" t="str">
        <f ca="1">IF(J582&gt;=4,(MID(I583,1,1)&amp;MID(I583,2,4)+1),CELL("address",AA583))</f>
        <v>G585</v>
      </c>
      <c r="K583" s="128" t="str">
        <f ca="1">IF(J582&gt;=5,(MID(J583,1,1)&amp;MID(J583,2,4)+1),CELL("address",AB583))</f>
        <v>$AB$583</v>
      </c>
      <c r="L583" s="128" t="str">
        <f ca="1">IF(J582&gt;=6,(MID(K583,1,1)&amp;MID(K583,2,4)+1),CELL("address",AC583))</f>
        <v>$AC$583</v>
      </c>
      <c r="M583" s="128" t="str">
        <f ca="1">IF(J582&gt;=7,(MID(L583,1,1)&amp;MID(L583,2,4)+1),CELL("address",AD583))</f>
        <v>$AD$583</v>
      </c>
      <c r="N583" s="128" t="str">
        <f ca="1">IF(J582&gt;=8,(MID(M583,1,1)&amp;MID(M583,2,4)+1),CELL("address",AE583))</f>
        <v>$AE$583</v>
      </c>
      <c r="O583" s="128" t="str">
        <f ca="1">IF(J582&gt;=9,(MID(N583,1,1)&amp;MID(N583,2,4)+1),CELL("address",AF583))</f>
        <v>$AF$583</v>
      </c>
      <c r="P583" s="128" t="str">
        <f ca="1">IF(J582&gt;=10,(MID(O583,1,1)&amp;MID(O583,2,4)+1),CELL("address",AG583))</f>
        <v>$AG$583</v>
      </c>
      <c r="Q583" s="128" t="str">
        <f ca="1">IF(J582&gt;=11,(MID(P583,1,1)&amp;MID(P583,2,4)+1),CELL("address",AH583))</f>
        <v>$AH$583</v>
      </c>
      <c r="R583" s="128" t="str">
        <f ca="1">IF(J582&gt;=12,(MID(Q583,1,1)&amp;MID(Q583,2,4)+1),CELL("address",AI583))</f>
        <v>$AI$583</v>
      </c>
    </row>
    <row r="584" spans="1:8" ht="15" customHeight="1">
      <c r="A584" s="275"/>
      <c r="B584" s="275"/>
      <c r="C584" s="274"/>
      <c r="D584" s="50" t="s">
        <v>31</v>
      </c>
      <c r="E584" s="52">
        <v>0.318</v>
      </c>
      <c r="F584" s="119"/>
      <c r="G584" s="119" t="str">
        <f>CONCATENATE(D584," - ",E584,", ")</f>
        <v>Misc. Alumn. Scrap - 0.318, </v>
      </c>
      <c r="H584" s="132"/>
    </row>
    <row r="585" spans="1:8" ht="15" customHeight="1">
      <c r="A585" s="283"/>
      <c r="B585" s="290"/>
      <c r="C585" s="199"/>
      <c r="D585" s="50"/>
      <c r="E585" s="52"/>
      <c r="F585" s="119"/>
      <c r="G585" s="119"/>
      <c r="H585" s="132"/>
    </row>
    <row r="586" spans="1:8" ht="15" customHeight="1">
      <c r="A586" s="288"/>
      <c r="B586" s="289"/>
      <c r="C586" s="81"/>
      <c r="D586" s="81"/>
      <c r="E586" s="82">
        <f>SUM(E588:E591)</f>
        <v>4.728999999999999</v>
      </c>
      <c r="F586" s="119"/>
      <c r="G586" s="119"/>
      <c r="H586" s="132"/>
    </row>
    <row r="587" spans="1:18" ht="15" customHeight="1">
      <c r="A587" s="283" t="s">
        <v>5</v>
      </c>
      <c r="B587" s="290"/>
      <c r="C587" s="78" t="s">
        <v>17</v>
      </c>
      <c r="D587" s="79" t="s">
        <v>18</v>
      </c>
      <c r="E587" s="78" t="s">
        <v>7</v>
      </c>
      <c r="F587" s="119"/>
      <c r="G587" s="121" t="str">
        <f>CONCATENATE("Misc. Healthy parts/ Non Ferrous  Scrap, Lying at ",C588,". Quantity in MT - ")</f>
        <v>Misc. Healthy parts/ Non Ferrous  Scrap, Lying at TRY Malerkotla. Quantity in MT - </v>
      </c>
      <c r="H587" s="309" t="str">
        <f ca="1">CONCATENATE(G587,G588,(INDIRECT(I588)),(INDIRECT(J588)),(INDIRECT(K588)),(INDIRECT(L588)),(INDIRECT(M588)),(INDIRECT(N588)),(INDIRECT(O588)),(INDIRECT(P588)),(INDIRECT(Q588)),(INDIRECT(R588)),".")</f>
        <v>Misc. Healthy parts/ Non Ferrous  Scrap, Lying at TRY Malerkotla. Quantity in MT - Brass scrap - 4.114, Misc. Aluminium scrap - 0.183, Burnt Aluminium scrap - 0.287, Burnt Cu scrap - 0.145, .</v>
      </c>
      <c r="I587" s="128" t="str">
        <f aca="true" ca="1" t="array" ref="I587">CELL("address",INDEX(G587:G609,MATCH(TRUE,ISBLANK(G587:G609),0)))</f>
        <v>$G$592</v>
      </c>
      <c r="J587" s="128">
        <f aca="true" t="array" ref="J587">MATCH(TRUE,ISBLANK(G587:G609),0)</f>
        <v>6</v>
      </c>
      <c r="K587" s="128">
        <f>J587-3</f>
        <v>3</v>
      </c>
      <c r="L587" s="128"/>
      <c r="M587" s="128"/>
      <c r="N587" s="128"/>
      <c r="O587" s="128"/>
      <c r="P587" s="128"/>
      <c r="Q587" s="128"/>
      <c r="R587" s="128"/>
    </row>
    <row r="588" spans="1:18" ht="15" customHeight="1">
      <c r="A588" s="275" t="s">
        <v>48</v>
      </c>
      <c r="B588" s="275"/>
      <c r="C588" s="274" t="s">
        <v>28</v>
      </c>
      <c r="D588" s="45" t="s">
        <v>23</v>
      </c>
      <c r="E588" s="51">
        <v>4.114</v>
      </c>
      <c r="F588" s="119"/>
      <c r="G588" s="119" t="str">
        <f>CONCATENATE(D588," - ",E588,", ")</f>
        <v>Brass scrap - 4.114, </v>
      </c>
      <c r="H588" s="309"/>
      <c r="I588" s="128" t="str">
        <f ca="1">IF(J587&gt;=3,(MID(I587,2,1)&amp;MID(I587,4,4)-K587),CELL("address",Z588))</f>
        <v>G589</v>
      </c>
      <c r="J588" s="128" t="str">
        <f ca="1">IF(J587&gt;=4,(MID(I588,1,1)&amp;MID(I588,2,4)+1),CELL("address",AA588))</f>
        <v>G590</v>
      </c>
      <c r="K588" s="128" t="str">
        <f ca="1">IF(J587&gt;=5,(MID(J588,1,1)&amp;MID(J588,2,4)+1),CELL("address",AB588))</f>
        <v>G591</v>
      </c>
      <c r="L588" s="128" t="str">
        <f ca="1">IF(J587&gt;=6,(MID(K588,1,1)&amp;MID(K588,2,4)+1),CELL("address",AC588))</f>
        <v>G592</v>
      </c>
      <c r="M588" s="128" t="str">
        <f ca="1">IF(J587&gt;=7,(MID(L588,1,1)&amp;MID(L588,2,4)+1),CELL("address",AD588))</f>
        <v>$AD$588</v>
      </c>
      <c r="N588" s="128" t="str">
        <f ca="1">IF(J587&gt;=8,(MID(M588,1,1)&amp;MID(M588,2,4)+1),CELL("address",AE588))</f>
        <v>$AE$588</v>
      </c>
      <c r="O588" s="128" t="str">
        <f ca="1">IF(J587&gt;=9,(MID(N588,1,1)&amp;MID(N588,2,4)+1),CELL("address",AF588))</f>
        <v>$AF$588</v>
      </c>
      <c r="P588" s="128" t="str">
        <f ca="1">IF(J587&gt;=10,(MID(O588,1,1)&amp;MID(O588,2,4)+1),CELL("address",AG588))</f>
        <v>$AG$588</v>
      </c>
      <c r="Q588" s="128" t="str">
        <f ca="1">IF(J587&gt;=11,(MID(P588,1,1)&amp;MID(P588,2,4)+1),CELL("address",AH588))</f>
        <v>$AH$588</v>
      </c>
      <c r="R588" s="128" t="str">
        <f ca="1">IF(J587&gt;=12,(MID(Q588,1,1)&amp;MID(Q588,2,4)+1),CELL("address",AI588))</f>
        <v>$AI$588</v>
      </c>
    </row>
    <row r="589" spans="1:8" ht="18" customHeight="1">
      <c r="A589" s="275"/>
      <c r="B589" s="275"/>
      <c r="C589" s="274"/>
      <c r="D589" s="45" t="s">
        <v>24</v>
      </c>
      <c r="E589" s="51">
        <v>0.183</v>
      </c>
      <c r="F589" s="119"/>
      <c r="G589" s="119" t="str">
        <f>CONCATENATE(D589," - ",E589,", ")</f>
        <v>Misc. Aluminium scrap - 0.183, </v>
      </c>
      <c r="H589" s="132"/>
    </row>
    <row r="590" spans="1:8" ht="19.5" customHeight="1">
      <c r="A590" s="275"/>
      <c r="B590" s="275"/>
      <c r="C590" s="274"/>
      <c r="D590" s="45" t="s">
        <v>41</v>
      </c>
      <c r="E590" s="51">
        <v>0.287</v>
      </c>
      <c r="F590" s="119"/>
      <c r="G590" s="119" t="str">
        <f>CONCATENATE(D590," - ",E590,", ")</f>
        <v>Burnt Aluminium scrap - 0.287, </v>
      </c>
      <c r="H590" s="132"/>
    </row>
    <row r="591" spans="1:8" ht="15" customHeight="1">
      <c r="A591" s="275"/>
      <c r="B591" s="275"/>
      <c r="C591" s="274"/>
      <c r="D591" s="45" t="s">
        <v>37</v>
      </c>
      <c r="E591" s="78">
        <v>0.145</v>
      </c>
      <c r="F591" s="119"/>
      <c r="G591" s="119" t="str">
        <f>CONCATENATE(D591," - ",E591,", ")</f>
        <v>Burnt Cu scrap - 0.145, </v>
      </c>
      <c r="H591" s="132"/>
    </row>
    <row r="592" spans="1:8" ht="15" customHeight="1">
      <c r="A592" s="44"/>
      <c r="B592" s="47"/>
      <c r="C592" s="199"/>
      <c r="D592" s="45"/>
      <c r="E592" s="78"/>
      <c r="F592" s="119"/>
      <c r="G592" s="119"/>
      <c r="H592" s="132"/>
    </row>
    <row r="593" spans="1:8" ht="15" customHeight="1">
      <c r="A593" s="288"/>
      <c r="B593" s="289"/>
      <c r="C593" s="81"/>
      <c r="D593" s="81"/>
      <c r="E593" s="82">
        <f>SUM(E595:E598)</f>
        <v>0.418</v>
      </c>
      <c r="F593" s="119"/>
      <c r="G593" s="119"/>
      <c r="H593" s="132"/>
    </row>
    <row r="594" spans="1:18" ht="15" customHeight="1">
      <c r="A594" s="275" t="s">
        <v>5</v>
      </c>
      <c r="B594" s="275"/>
      <c r="C594" s="78" t="s">
        <v>17</v>
      </c>
      <c r="D594" s="79" t="s">
        <v>18</v>
      </c>
      <c r="E594" s="78" t="s">
        <v>7</v>
      </c>
      <c r="F594" s="119"/>
      <c r="G594" s="121" t="str">
        <f>CONCATENATE("Misc. Healthy parts/ Non Ferrous  Scrap, Lying at ",C595,". Quantity in MT - ")</f>
        <v>Misc. Healthy parts/ Non Ferrous  Scrap, Lying at CS Mohali. Quantity in MT - </v>
      </c>
      <c r="H594" s="309" t="str">
        <f ca="1">CONCATENATE(G594,G595,(INDIRECT(I595)),(INDIRECT(J595)),(INDIRECT(K595)),(INDIRECT(L595)),(INDIRECT(M595)),(INDIRECT(N595)),(INDIRECT(O595)),(INDIRECT(P595)),(INDIRECT(Q595)),(INDIRECT(R595)),".")</f>
        <v>Misc. Healthy parts/ Non Ferrous  Scrap, Lying at CS Mohali. Quantity in MT - Misc. Copper scrap - 0.313, Burnt Cu scrap - 0.041, All Alumn. Conductor Scrap - 0.054, Brass scrap - 0.01, .</v>
      </c>
      <c r="I594" s="128" t="str">
        <f aca="true" ca="1" t="array" ref="I594">CELL("address",INDEX(G594:G616,MATCH(TRUE,ISBLANK(G594:G616),0)))</f>
        <v>$G$599</v>
      </c>
      <c r="J594" s="128">
        <f aca="true" t="array" ref="J594">MATCH(TRUE,ISBLANK(G594:G616),0)</f>
        <v>6</v>
      </c>
      <c r="K594" s="128">
        <f>J594-3</f>
        <v>3</v>
      </c>
      <c r="L594" s="128"/>
      <c r="M594" s="128"/>
      <c r="N594" s="128"/>
      <c r="O594" s="128"/>
      <c r="P594" s="128"/>
      <c r="Q594" s="128"/>
      <c r="R594" s="128"/>
    </row>
    <row r="595" spans="1:18" ht="15" customHeight="1">
      <c r="A595" s="275" t="s">
        <v>39</v>
      </c>
      <c r="B595" s="275"/>
      <c r="C595" s="274" t="s">
        <v>63</v>
      </c>
      <c r="D595" s="45" t="s">
        <v>45</v>
      </c>
      <c r="E595" s="51">
        <v>0.313</v>
      </c>
      <c r="F595" s="119"/>
      <c r="G595" s="119" t="str">
        <f>CONCATENATE(D595," - ",E595,", ")</f>
        <v>Misc. Copper scrap - 0.313, </v>
      </c>
      <c r="H595" s="309"/>
      <c r="I595" s="128" t="str">
        <f ca="1">IF(J594&gt;=3,(MID(I594,2,1)&amp;MID(I594,4,4)-K594),CELL("address",Z595))</f>
        <v>G596</v>
      </c>
      <c r="J595" s="128" t="str">
        <f ca="1">IF(J594&gt;=4,(MID(I595,1,1)&amp;MID(I595,2,4)+1),CELL("address",AA595))</f>
        <v>G597</v>
      </c>
      <c r="K595" s="128" t="str">
        <f ca="1">IF(J594&gt;=5,(MID(J595,1,1)&amp;MID(J595,2,4)+1),CELL("address",AB595))</f>
        <v>G598</v>
      </c>
      <c r="L595" s="128" t="str">
        <f ca="1">IF(J594&gt;=6,(MID(K595,1,1)&amp;MID(K595,2,4)+1),CELL("address",AC595))</f>
        <v>G599</v>
      </c>
      <c r="M595" s="128" t="str">
        <f ca="1">IF(J594&gt;=7,(MID(L595,1,1)&amp;MID(L595,2,4)+1),CELL("address",AD595))</f>
        <v>$AD$595</v>
      </c>
      <c r="N595" s="128" t="str">
        <f ca="1">IF(J594&gt;=8,(MID(M595,1,1)&amp;MID(M595,2,4)+1),CELL("address",AE595))</f>
        <v>$AE$595</v>
      </c>
      <c r="O595" s="128" t="str">
        <f ca="1">IF(J594&gt;=9,(MID(N595,1,1)&amp;MID(N595,2,4)+1),CELL("address",AF595))</f>
        <v>$AF$595</v>
      </c>
      <c r="P595" s="128" t="str">
        <f ca="1">IF(J594&gt;=10,(MID(O595,1,1)&amp;MID(O595,2,4)+1),CELL("address",AG595))</f>
        <v>$AG$595</v>
      </c>
      <c r="Q595" s="128" t="str">
        <f ca="1">IF(J594&gt;=11,(MID(P595,1,1)&amp;MID(P595,2,4)+1),CELL("address",AH595))</f>
        <v>$AH$595</v>
      </c>
      <c r="R595" s="128" t="str">
        <f ca="1">IF(J594&gt;=12,(MID(Q595,1,1)&amp;MID(Q595,2,4)+1),CELL("address",AI595))</f>
        <v>$AI$595</v>
      </c>
    </row>
    <row r="596" spans="1:8" ht="15" customHeight="1">
      <c r="A596" s="275"/>
      <c r="B596" s="275"/>
      <c r="C596" s="274"/>
      <c r="D596" s="44" t="s">
        <v>37</v>
      </c>
      <c r="E596" s="51">
        <v>0.041</v>
      </c>
      <c r="F596" s="119"/>
      <c r="G596" s="119" t="str">
        <f>CONCATENATE(D596," - ",E596,", ")</f>
        <v>Burnt Cu scrap - 0.041, </v>
      </c>
      <c r="H596" s="132"/>
    </row>
    <row r="597" spans="1:8" ht="15" customHeight="1">
      <c r="A597" s="275"/>
      <c r="B597" s="275"/>
      <c r="C597" s="274"/>
      <c r="D597" s="50" t="s">
        <v>32</v>
      </c>
      <c r="E597" s="51">
        <v>0.054</v>
      </c>
      <c r="F597" s="119"/>
      <c r="G597" s="119" t="str">
        <f>CONCATENATE(D597," - ",E597,", ")</f>
        <v>All Alumn. Conductor Scrap - 0.054, </v>
      </c>
      <c r="H597" s="132"/>
    </row>
    <row r="598" spans="1:8" ht="15" customHeight="1">
      <c r="A598" s="275"/>
      <c r="B598" s="275"/>
      <c r="C598" s="274"/>
      <c r="D598" s="45" t="s">
        <v>23</v>
      </c>
      <c r="E598" s="51">
        <v>0.01</v>
      </c>
      <c r="F598" s="119"/>
      <c r="G598" s="119" t="str">
        <f>CONCATENATE(D598," - ",E598,", ")</f>
        <v>Brass scrap - 0.01, </v>
      </c>
      <c r="H598" s="132"/>
    </row>
    <row r="599" spans="1:8" ht="15" customHeight="1">
      <c r="A599" s="44"/>
      <c r="B599" s="47"/>
      <c r="C599" s="199"/>
      <c r="D599" s="45"/>
      <c r="E599" s="51"/>
      <c r="F599" s="119"/>
      <c r="G599" s="119"/>
      <c r="H599" s="132"/>
    </row>
    <row r="600" spans="1:8" ht="15" customHeight="1">
      <c r="A600" s="283"/>
      <c r="B600" s="290"/>
      <c r="C600" s="199"/>
      <c r="D600" s="45"/>
      <c r="E600" s="82">
        <f>E602</f>
        <v>0.089</v>
      </c>
      <c r="F600" s="119"/>
      <c r="G600" s="119"/>
      <c r="H600" s="132"/>
    </row>
    <row r="601" spans="1:18" ht="15" customHeight="1">
      <c r="A601" s="275" t="s">
        <v>5</v>
      </c>
      <c r="B601" s="275"/>
      <c r="C601" s="78" t="s">
        <v>17</v>
      </c>
      <c r="D601" s="79" t="s">
        <v>18</v>
      </c>
      <c r="E601" s="78" t="s">
        <v>7</v>
      </c>
      <c r="F601" s="119"/>
      <c r="G601" s="121" t="str">
        <f>CONCATENATE("Misc. Healthy parts/ Non Ferrous  Scrap, Lying at ",C602,". Quantity in MT - ")</f>
        <v>Misc. Healthy parts/ Non Ferrous  Scrap, Lying at OL store Nabha. Quantity in MT - </v>
      </c>
      <c r="H601" s="309" t="str">
        <f ca="1">CONCATENATE(G601,G602,(INDIRECT(I602)),(INDIRECT(J602)),(INDIRECT(K602)),(INDIRECT(L602)),(INDIRECT(M602)),(INDIRECT(N602)),(INDIRECT(O602)),(INDIRECT(P602)),(INDIRECT(Q602)),(INDIRECT(R602)),".")</f>
        <v>Misc. Healthy parts/ Non Ferrous  Scrap, Lying at OL store Nabha. Quantity in MT - Misc. Copper scrap - 0.089, .</v>
      </c>
      <c r="I601" s="128" t="str">
        <f aca="true" ca="1" t="array" ref="I601">CELL("address",INDEX(G601:G626,MATCH(TRUE,ISBLANK(G601:G626),0)))</f>
        <v>$G$603</v>
      </c>
      <c r="J601" s="128">
        <f aca="true" t="array" ref="J601">MATCH(TRUE,ISBLANK(G601:G626),0)</f>
        <v>3</v>
      </c>
      <c r="K601" s="128">
        <f>J601-3</f>
        <v>0</v>
      </c>
      <c r="L601" s="128"/>
      <c r="M601" s="128"/>
      <c r="N601" s="128"/>
      <c r="O601" s="128"/>
      <c r="P601" s="128"/>
      <c r="Q601" s="128"/>
      <c r="R601" s="128"/>
    </row>
    <row r="602" spans="1:18" ht="15" customHeight="1">
      <c r="A602" s="275" t="s">
        <v>40</v>
      </c>
      <c r="B602" s="275"/>
      <c r="C602" s="199" t="s">
        <v>104</v>
      </c>
      <c r="D602" s="45" t="s">
        <v>45</v>
      </c>
      <c r="E602" s="51">
        <v>0.089</v>
      </c>
      <c r="F602" s="119"/>
      <c r="G602" s="119" t="str">
        <f>CONCATENATE(D602," - ",E602,", ")</f>
        <v>Misc. Copper scrap - 0.089, </v>
      </c>
      <c r="H602" s="309"/>
      <c r="I602" s="128" t="str">
        <f ca="1">IF(J601&gt;=3,(MID(I601,2,1)&amp;MID(I601,4,4)-K601),CELL("address",Z602))</f>
        <v>G603</v>
      </c>
      <c r="J602" s="128" t="str">
        <f ca="1">IF(J601&gt;=4,(MID(I602,1,1)&amp;MID(I602,2,4)+1),CELL("address",AA602))</f>
        <v>$AA$602</v>
      </c>
      <c r="K602" s="128" t="str">
        <f ca="1">IF(J601&gt;=5,(MID(J602,1,1)&amp;MID(J602,2,4)+1),CELL("address",AB602))</f>
        <v>$AB$602</v>
      </c>
      <c r="L602" s="128" t="str">
        <f ca="1">IF(J601&gt;=6,(MID(K602,1,1)&amp;MID(K602,2,4)+1),CELL("address",AC602))</f>
        <v>$AC$602</v>
      </c>
      <c r="M602" s="128" t="str">
        <f ca="1">IF(J601&gt;=7,(MID(L602,1,1)&amp;MID(L602,2,4)+1),CELL("address",AD602))</f>
        <v>$AD$602</v>
      </c>
      <c r="N602" s="128" t="str">
        <f ca="1">IF(J601&gt;=8,(MID(M602,1,1)&amp;MID(M602,2,4)+1),CELL("address",AE602))</f>
        <v>$AE$602</v>
      </c>
      <c r="O602" s="128" t="str">
        <f ca="1">IF(J601&gt;=9,(MID(N602,1,1)&amp;MID(N602,2,4)+1),CELL("address",AF602))</f>
        <v>$AF$602</v>
      </c>
      <c r="P602" s="128" t="str">
        <f ca="1">IF(J601&gt;=10,(MID(O602,1,1)&amp;MID(O602,2,4)+1),CELL("address",AG602))</f>
        <v>$AG$602</v>
      </c>
      <c r="Q602" s="128" t="str">
        <f ca="1">IF(J601&gt;=11,(MID(P602,1,1)&amp;MID(P602,2,4)+1),CELL("address",AH602))</f>
        <v>$AH$602</v>
      </c>
      <c r="R602" s="128" t="str">
        <f ca="1">IF(J601&gt;=12,(MID(Q602,1,1)&amp;MID(Q602,2,4)+1),CELL("address",AI602))</f>
        <v>$AI$602</v>
      </c>
    </row>
    <row r="603" spans="1:8" ht="15" customHeight="1">
      <c r="A603" s="44"/>
      <c r="B603" s="47"/>
      <c r="C603" s="199"/>
      <c r="D603" s="45"/>
      <c r="E603" s="51"/>
      <c r="F603" s="119"/>
      <c r="G603" s="119"/>
      <c r="H603" s="132"/>
    </row>
    <row r="604" spans="1:8" ht="15" customHeight="1">
      <c r="A604" s="283"/>
      <c r="B604" s="290"/>
      <c r="C604" s="199"/>
      <c r="D604" s="45"/>
      <c r="E604" s="82">
        <f>E606</f>
        <v>0.092</v>
      </c>
      <c r="F604" s="119"/>
      <c r="G604" s="119"/>
      <c r="H604" s="132"/>
    </row>
    <row r="605" spans="1:18" ht="15" customHeight="1">
      <c r="A605" s="275" t="s">
        <v>5</v>
      </c>
      <c r="B605" s="275"/>
      <c r="C605" s="78" t="s">
        <v>17</v>
      </c>
      <c r="D605" s="79" t="s">
        <v>18</v>
      </c>
      <c r="E605" s="78" t="s">
        <v>7</v>
      </c>
      <c r="F605" s="119"/>
      <c r="G605" s="121" t="str">
        <f>CONCATENATE("Misc. Healthy parts/ Non Ferrous  Scrap, Lying at ",C606,". Quantity in MT - ")</f>
        <v>Misc. Healthy parts/ Non Ferrous  Scrap, Lying at OL store Patran. Quantity in MT - </v>
      </c>
      <c r="H605" s="309" t="str">
        <f ca="1">CONCATENATE(G605,G606,(INDIRECT(I606)),(INDIRECT(J606)),(INDIRECT(K606)),(INDIRECT(L606)),(INDIRECT(M606)),(INDIRECT(N606)),(INDIRECT(O606)),(INDIRECT(P606)),(INDIRECT(Q606)),(INDIRECT(R606)),".")</f>
        <v>Misc. Healthy parts/ Non Ferrous  Scrap, Lying at OL store Patran. Quantity in MT - Misc. Copper scrap - 0.092, .</v>
      </c>
      <c r="I605" s="128" t="str">
        <f aca="true" ca="1" t="array" ref="I605">CELL("address",INDEX(G605:G630,MATCH(TRUE,ISBLANK(G605:G630),0)))</f>
        <v>$G$607</v>
      </c>
      <c r="J605" s="128">
        <f aca="true" t="array" ref="J605">MATCH(TRUE,ISBLANK(G605:G630),0)</f>
        <v>3</v>
      </c>
      <c r="K605" s="128">
        <f>J605-3</f>
        <v>0</v>
      </c>
      <c r="L605" s="128"/>
      <c r="M605" s="128"/>
      <c r="N605" s="128"/>
      <c r="O605" s="128"/>
      <c r="P605" s="128"/>
      <c r="Q605" s="128"/>
      <c r="R605" s="128"/>
    </row>
    <row r="606" spans="1:18" ht="15" customHeight="1">
      <c r="A606" s="275" t="s">
        <v>81</v>
      </c>
      <c r="B606" s="275"/>
      <c r="C606" s="199" t="s">
        <v>102</v>
      </c>
      <c r="D606" s="45" t="s">
        <v>45</v>
      </c>
      <c r="E606" s="51">
        <v>0.092</v>
      </c>
      <c r="F606" s="119"/>
      <c r="G606" s="119" t="str">
        <f>CONCATENATE(D606," - ",E606,", ")</f>
        <v>Misc. Copper scrap - 0.092, </v>
      </c>
      <c r="H606" s="309"/>
      <c r="I606" s="128" t="str">
        <f ca="1">IF(J605&gt;=3,(MID(I605,2,1)&amp;MID(I605,4,4)-K605),CELL("address",Z606))</f>
        <v>G607</v>
      </c>
      <c r="J606" s="128" t="str">
        <f ca="1">IF(J605&gt;=4,(MID(I606,1,1)&amp;MID(I606,2,4)+1),CELL("address",AA606))</f>
        <v>$AA$606</v>
      </c>
      <c r="K606" s="128" t="str">
        <f ca="1">IF(J605&gt;=5,(MID(J606,1,1)&amp;MID(J606,2,4)+1),CELL("address",AB606))</f>
        <v>$AB$606</v>
      </c>
      <c r="L606" s="128" t="str">
        <f ca="1">IF(J605&gt;=6,(MID(K606,1,1)&amp;MID(K606,2,4)+1),CELL("address",AC606))</f>
        <v>$AC$606</v>
      </c>
      <c r="M606" s="128" t="str">
        <f ca="1">IF(J605&gt;=7,(MID(L606,1,1)&amp;MID(L606,2,4)+1),CELL("address",AD606))</f>
        <v>$AD$606</v>
      </c>
      <c r="N606" s="128" t="str">
        <f ca="1">IF(J605&gt;=8,(MID(M606,1,1)&amp;MID(M606,2,4)+1),CELL("address",AE606))</f>
        <v>$AE$606</v>
      </c>
      <c r="O606" s="128" t="str">
        <f ca="1">IF(J605&gt;=9,(MID(N606,1,1)&amp;MID(N606,2,4)+1),CELL("address",AF606))</f>
        <v>$AF$606</v>
      </c>
      <c r="P606" s="128" t="str">
        <f ca="1">IF(J605&gt;=10,(MID(O606,1,1)&amp;MID(O606,2,4)+1),CELL("address",AG606))</f>
        <v>$AG$606</v>
      </c>
      <c r="Q606" s="128" t="str">
        <f ca="1">IF(J605&gt;=11,(MID(P606,1,1)&amp;MID(P606,2,4)+1),CELL("address",AH606))</f>
        <v>$AH$606</v>
      </c>
      <c r="R606" s="128" t="str">
        <f ca="1">IF(J605&gt;=12,(MID(Q606,1,1)&amp;MID(Q606,2,4)+1),CELL("address",AI606))</f>
        <v>$AI$606</v>
      </c>
    </row>
    <row r="607" spans="1:8" ht="15" customHeight="1">
      <c r="A607" s="55"/>
      <c r="B607" s="71"/>
      <c r="C607" s="206"/>
      <c r="D607" s="45"/>
      <c r="E607" s="51"/>
      <c r="F607" s="119"/>
      <c r="G607" s="119"/>
      <c r="H607" s="132"/>
    </row>
    <row r="608" spans="1:8" ht="15" customHeight="1">
      <c r="A608" s="55"/>
      <c r="B608" s="71"/>
      <c r="C608" s="206"/>
      <c r="D608" s="50"/>
      <c r="E608" s="82">
        <f>SUM(E610:E612)</f>
        <v>0.341</v>
      </c>
      <c r="F608" s="119"/>
      <c r="G608" s="119"/>
      <c r="H608" s="132"/>
    </row>
    <row r="609" spans="1:18" ht="15" customHeight="1">
      <c r="A609" s="275" t="s">
        <v>5</v>
      </c>
      <c r="B609" s="275"/>
      <c r="C609" s="78" t="s">
        <v>17</v>
      </c>
      <c r="D609" s="79" t="s">
        <v>18</v>
      </c>
      <c r="E609" s="78" t="s">
        <v>7</v>
      </c>
      <c r="F609" s="119"/>
      <c r="G609" s="121" t="str">
        <f>CONCATENATE("Misc. Healthy parts/ Non Ferrous  Scrap, Lying at ",C610,". Quantity in MT - ")</f>
        <v>Misc. Healthy parts/ Non Ferrous  Scrap, Lying at CS Patiala. Quantity in MT - </v>
      </c>
      <c r="H609" s="309" t="str">
        <f ca="1">CONCATENATE(G609,G610,(INDIRECT(I610)),(INDIRECT(J610)),(INDIRECT(K610)),(INDIRECT(L610)),(INDIRECT(M610)),(INDIRECT(N610)),(INDIRECT(O610)),(INDIRECT(P610)),(INDIRECT(Q610)),(INDIRECT(R610)),".")</f>
        <v>Misc. Healthy parts/ Non Ferrous  Scrap, Lying at CS Patiala. Quantity in MT - Misc. Alumn. Scrap - 0.101, Misc. copper scrap - 0.218, Burnt copper scrap - 0.022, .</v>
      </c>
      <c r="I609" s="128" t="str">
        <f aca="true" ca="1" t="array" ref="I609">CELL("address",INDEX(G609:G634,MATCH(TRUE,ISBLANK(G609:G634),0)))</f>
        <v>$G$613</v>
      </c>
      <c r="J609" s="128">
        <f aca="true" t="array" ref="J609">MATCH(TRUE,ISBLANK(G609:G634),0)</f>
        <v>5</v>
      </c>
      <c r="K609" s="128">
        <f>J609-3</f>
        <v>2</v>
      </c>
      <c r="L609" s="128"/>
      <c r="M609" s="128"/>
      <c r="N609" s="128"/>
      <c r="O609" s="128"/>
      <c r="P609" s="128"/>
      <c r="Q609" s="128"/>
      <c r="R609" s="128"/>
    </row>
    <row r="610" spans="1:18" ht="15" customHeight="1">
      <c r="A610" s="304" t="s">
        <v>52</v>
      </c>
      <c r="B610" s="305"/>
      <c r="C610" s="296" t="s">
        <v>53</v>
      </c>
      <c r="D610" s="73" t="s">
        <v>31</v>
      </c>
      <c r="E610" s="52">
        <v>0.101</v>
      </c>
      <c r="F610" s="119"/>
      <c r="G610" s="119" t="str">
        <f>CONCATENATE(D610," - ",E610,", ")</f>
        <v>Misc. Alumn. Scrap - 0.101, </v>
      </c>
      <c r="H610" s="309"/>
      <c r="I610" s="128" t="str">
        <f ca="1">IF(J609&gt;=3,(MID(I609,2,1)&amp;MID(I609,4,4)-K609),CELL("address",Z610))</f>
        <v>G611</v>
      </c>
      <c r="J610" s="128" t="str">
        <f ca="1">IF(J609&gt;=4,(MID(I610,1,1)&amp;MID(I610,2,4)+1),CELL("address",AA610))</f>
        <v>G612</v>
      </c>
      <c r="K610" s="128" t="str">
        <f ca="1">IF(J609&gt;=5,(MID(J610,1,1)&amp;MID(J610,2,4)+1),CELL("address",AB610))</f>
        <v>G613</v>
      </c>
      <c r="L610" s="128" t="str">
        <f ca="1">IF(J609&gt;=6,(MID(K610,1,1)&amp;MID(K610,2,4)+1),CELL("address",AC610))</f>
        <v>$AC$610</v>
      </c>
      <c r="M610" s="128" t="str">
        <f ca="1">IF(J609&gt;=7,(MID(L610,1,1)&amp;MID(L610,2,4)+1),CELL("address",AD610))</f>
        <v>$AD$610</v>
      </c>
      <c r="N610" s="128" t="str">
        <f ca="1">IF(J609&gt;=8,(MID(M610,1,1)&amp;MID(M610,2,4)+1),CELL("address",AE610))</f>
        <v>$AE$610</v>
      </c>
      <c r="O610" s="128" t="str">
        <f ca="1">IF(J609&gt;=9,(MID(N610,1,1)&amp;MID(N610,2,4)+1),CELL("address",AF610))</f>
        <v>$AF$610</v>
      </c>
      <c r="P610" s="128" t="str">
        <f ca="1">IF(J609&gt;=10,(MID(O610,1,1)&amp;MID(O610,2,4)+1),CELL("address",AG610))</f>
        <v>$AG$610</v>
      </c>
      <c r="Q610" s="128" t="str">
        <f ca="1">IF(J609&gt;=11,(MID(P610,1,1)&amp;MID(P610,2,4)+1),CELL("address",AH610))</f>
        <v>$AH$610</v>
      </c>
      <c r="R610" s="128" t="str">
        <f ca="1">IF(J609&gt;=12,(MID(Q610,1,1)&amp;MID(Q610,2,4)+1),CELL("address",AI610))</f>
        <v>$AI$610</v>
      </c>
    </row>
    <row r="611" spans="1:8" ht="15" customHeight="1">
      <c r="A611" s="317"/>
      <c r="B611" s="318"/>
      <c r="C611" s="297"/>
      <c r="D611" s="73" t="s">
        <v>113</v>
      </c>
      <c r="E611" s="78">
        <v>0.218</v>
      </c>
      <c r="F611" s="119"/>
      <c r="G611" s="119" t="str">
        <f>CONCATENATE(D611," - ",E611,", ")</f>
        <v>Misc. copper scrap - 0.218, </v>
      </c>
      <c r="H611" s="132"/>
    </row>
    <row r="612" spans="1:8" ht="15" customHeight="1">
      <c r="A612" s="331"/>
      <c r="B612" s="332"/>
      <c r="C612" s="298"/>
      <c r="D612" s="73" t="s">
        <v>47</v>
      </c>
      <c r="E612" s="78">
        <v>0.022</v>
      </c>
      <c r="F612" s="119"/>
      <c r="G612" s="119" t="str">
        <f>CONCATENATE(D612," - ",E612,", ")</f>
        <v>Burnt copper scrap - 0.022, </v>
      </c>
      <c r="H612" s="132"/>
    </row>
    <row r="613" spans="1:8" ht="15" customHeight="1">
      <c r="A613" s="283"/>
      <c r="B613" s="290"/>
      <c r="C613" s="199"/>
      <c r="D613" s="73"/>
      <c r="E613" s="78"/>
      <c r="F613" s="119"/>
      <c r="G613" s="119"/>
      <c r="H613" s="132"/>
    </row>
    <row r="614" spans="1:8" ht="15" customHeight="1">
      <c r="A614" s="288"/>
      <c r="B614" s="289"/>
      <c r="C614" s="81"/>
      <c r="D614" s="81"/>
      <c r="E614" s="82">
        <f>SUM(E616:E623)</f>
        <v>4.915000000000001</v>
      </c>
      <c r="F614" s="119"/>
      <c r="G614" s="119"/>
      <c r="H614" s="132"/>
    </row>
    <row r="615" spans="1:18" ht="15" customHeight="1">
      <c r="A615" s="304" t="s">
        <v>5</v>
      </c>
      <c r="B615" s="305"/>
      <c r="C615" s="78" t="s">
        <v>17</v>
      </c>
      <c r="D615" s="79" t="s">
        <v>18</v>
      </c>
      <c r="E615" s="83" t="s">
        <v>7</v>
      </c>
      <c r="F615" s="119"/>
      <c r="G615" s="121" t="str">
        <f>CONCATENATE("Misc. Healthy parts/ Non Ferrous  Scrap, Lying at ",C616,". Quantity in MT - ")</f>
        <v>Misc. Healthy parts/ Non Ferrous  Scrap, Lying at CS Kotkapura. Quantity in MT - </v>
      </c>
      <c r="H615" s="309" t="str">
        <f ca="1">CONCATENATE(G615,G616,(INDIRECT(I616)),(INDIRECT(J616)),(INDIRECT(K616)),(INDIRECT(L616)),(INDIRECT(M616)),(INDIRECT(N616)),(INDIRECT(O616)),(INDIRECT(P616)),(INDIRECT(Q616)),(INDIRECT(R616)),".")</f>
        <v>Misc. Healthy parts/ Non Ferrous  Scrap, Lying at CS Kotkapura. Quantity in MT - Brass scrap - 4.046, Misc. Copper scrap - 0.065, Burnt Cu scrap - 0.325, Misc. Aluminium scrap - 0.205, Burnt Aluminium scrap - 0.055, All Alum scrap - 0.09, Alu scrap of damaged T/F accessories - 0.096, Copper scrap - 0.033, .</v>
      </c>
      <c r="I615" s="128" t="str">
        <f aca="true" ca="1" t="array" ref="I615">CELL("address",INDEX(G615:G640,MATCH(TRUE,ISBLANK(G615:G640),0)))</f>
        <v>$G$624</v>
      </c>
      <c r="J615" s="128">
        <f aca="true" t="array" ref="J615">MATCH(TRUE,ISBLANK(G615:G640),0)</f>
        <v>10</v>
      </c>
      <c r="K615" s="128">
        <f>J615-3</f>
        <v>7</v>
      </c>
      <c r="L615" s="128"/>
      <c r="M615" s="128"/>
      <c r="N615" s="128"/>
      <c r="O615" s="128"/>
      <c r="P615" s="128"/>
      <c r="Q615" s="128"/>
      <c r="R615" s="128"/>
    </row>
    <row r="616" spans="1:18" ht="15" customHeight="1">
      <c r="A616" s="275" t="s">
        <v>44</v>
      </c>
      <c r="B616" s="275"/>
      <c r="C616" s="274" t="s">
        <v>43</v>
      </c>
      <c r="D616" s="45" t="s">
        <v>23</v>
      </c>
      <c r="E616" s="84">
        <v>4.046</v>
      </c>
      <c r="F616" s="119"/>
      <c r="G616" s="119" t="str">
        <f aca="true" t="shared" si="5" ref="G616:G623">CONCATENATE(D616," - ",E616,", ")</f>
        <v>Brass scrap - 4.046, </v>
      </c>
      <c r="H616" s="309"/>
      <c r="I616" s="128" t="str">
        <f ca="1">IF(J615&gt;=3,(MID(I615,2,1)&amp;MID(I615,4,4)-K615),CELL("address",Z616))</f>
        <v>G617</v>
      </c>
      <c r="J616" s="128" t="str">
        <f ca="1">IF(J615&gt;=4,(MID(I616,1,1)&amp;MID(I616,2,4)+1),CELL("address",AA616))</f>
        <v>G618</v>
      </c>
      <c r="K616" s="128" t="str">
        <f ca="1">IF(J615&gt;=5,(MID(J616,1,1)&amp;MID(J616,2,4)+1),CELL("address",AB616))</f>
        <v>G619</v>
      </c>
      <c r="L616" s="128" t="str">
        <f ca="1">IF(J615&gt;=6,(MID(K616,1,1)&amp;MID(K616,2,4)+1),CELL("address",AC616))</f>
        <v>G620</v>
      </c>
      <c r="M616" s="128" t="str">
        <f ca="1">IF(J615&gt;=7,(MID(L616,1,1)&amp;MID(L616,2,4)+1),CELL("address",AD616))</f>
        <v>G621</v>
      </c>
      <c r="N616" s="128" t="str">
        <f ca="1">IF(J615&gt;=8,(MID(M616,1,1)&amp;MID(M616,2,4)+1),CELL("address",AE616))</f>
        <v>G622</v>
      </c>
      <c r="O616" s="128" t="str">
        <f ca="1">IF(J615&gt;=9,(MID(N616,1,1)&amp;MID(N616,2,4)+1),CELL("address",AF616))</f>
        <v>G623</v>
      </c>
      <c r="P616" s="128" t="str">
        <f ca="1">IF(J615&gt;=10,(MID(O616,1,1)&amp;MID(O616,2,4)+1),CELL("address",AG616))</f>
        <v>G624</v>
      </c>
      <c r="Q616" s="128" t="str">
        <f ca="1">IF(J615&gt;=11,(MID(P616,1,1)&amp;MID(P616,2,4)+1),CELL("address",AH616))</f>
        <v>$AH$616</v>
      </c>
      <c r="R616" s="128" t="str">
        <f ca="1">IF(J615&gt;=12,(MID(Q616,1,1)&amp;MID(Q616,2,4)+1),CELL("address",AI616))</f>
        <v>$AI$616</v>
      </c>
    </row>
    <row r="617" spans="1:8" ht="15" customHeight="1">
      <c r="A617" s="275"/>
      <c r="B617" s="275"/>
      <c r="C617" s="274"/>
      <c r="D617" s="45" t="s">
        <v>45</v>
      </c>
      <c r="E617" s="84">
        <v>0.065</v>
      </c>
      <c r="F617" s="119"/>
      <c r="G617" s="119" t="str">
        <f t="shared" si="5"/>
        <v>Misc. Copper scrap - 0.065, </v>
      </c>
      <c r="H617" s="132"/>
    </row>
    <row r="618" spans="1:8" ht="15" customHeight="1">
      <c r="A618" s="275"/>
      <c r="B618" s="275"/>
      <c r="C618" s="274"/>
      <c r="D618" s="44" t="s">
        <v>37</v>
      </c>
      <c r="E618" s="84">
        <v>0.325</v>
      </c>
      <c r="F618" s="119"/>
      <c r="G618" s="119" t="str">
        <f t="shared" si="5"/>
        <v>Burnt Cu scrap - 0.325, </v>
      </c>
      <c r="H618" s="132"/>
    </row>
    <row r="619" spans="1:8" ht="15" customHeight="1">
      <c r="A619" s="275"/>
      <c r="B619" s="275"/>
      <c r="C619" s="274"/>
      <c r="D619" s="45" t="s">
        <v>24</v>
      </c>
      <c r="E619" s="84">
        <v>0.205</v>
      </c>
      <c r="F619" s="119"/>
      <c r="G619" s="119" t="str">
        <f t="shared" si="5"/>
        <v>Misc. Aluminium scrap - 0.205, </v>
      </c>
      <c r="H619" s="132"/>
    </row>
    <row r="620" spans="1:8" ht="15" customHeight="1">
      <c r="A620" s="275"/>
      <c r="B620" s="275"/>
      <c r="C620" s="274"/>
      <c r="D620" s="44" t="s">
        <v>41</v>
      </c>
      <c r="E620" s="84">
        <v>0.055</v>
      </c>
      <c r="F620" s="119"/>
      <c r="G620" s="119" t="str">
        <f t="shared" si="5"/>
        <v>Burnt Aluminium scrap - 0.055, </v>
      </c>
      <c r="H620" s="132"/>
    </row>
    <row r="621" spans="1:8" ht="15" customHeight="1">
      <c r="A621" s="275"/>
      <c r="B621" s="275"/>
      <c r="C621" s="274"/>
      <c r="D621" s="44" t="s">
        <v>406</v>
      </c>
      <c r="E621" s="84">
        <v>0.09</v>
      </c>
      <c r="F621" s="119" t="s">
        <v>327</v>
      </c>
      <c r="G621" s="119" t="str">
        <f t="shared" si="5"/>
        <v>All Alum scrap - 0.09, </v>
      </c>
      <c r="H621" s="132"/>
    </row>
    <row r="622" spans="1:8" ht="15" customHeight="1">
      <c r="A622" s="275"/>
      <c r="B622" s="275"/>
      <c r="C622" s="274"/>
      <c r="D622" s="44" t="s">
        <v>407</v>
      </c>
      <c r="E622" s="84">
        <v>0.096</v>
      </c>
      <c r="F622" s="119" t="s">
        <v>327</v>
      </c>
      <c r="G622" s="119" t="str">
        <f t="shared" si="5"/>
        <v>Alu scrap of damaged T/F accessories - 0.096, </v>
      </c>
      <c r="H622" s="132"/>
    </row>
    <row r="623" spans="1:8" ht="15" customHeight="1">
      <c r="A623" s="275"/>
      <c r="B623" s="275"/>
      <c r="C623" s="274"/>
      <c r="D623" s="44" t="s">
        <v>408</v>
      </c>
      <c r="E623" s="84">
        <v>0.033</v>
      </c>
      <c r="F623" s="119" t="s">
        <v>327</v>
      </c>
      <c r="G623" s="119" t="str">
        <f t="shared" si="5"/>
        <v>Copper scrap - 0.033, </v>
      </c>
      <c r="H623" s="132"/>
    </row>
    <row r="624" spans="1:8" ht="15" customHeight="1">
      <c r="A624" s="55"/>
      <c r="B624" s="71"/>
      <c r="C624" s="206"/>
      <c r="D624" s="44"/>
      <c r="E624" s="84"/>
      <c r="F624" s="119"/>
      <c r="G624" s="119"/>
      <c r="H624" s="132"/>
    </row>
    <row r="625" spans="1:8" ht="15" customHeight="1">
      <c r="A625" s="55"/>
      <c r="B625" s="71"/>
      <c r="C625" s="206"/>
      <c r="D625" s="50"/>
      <c r="E625" s="82">
        <f>SUM(E627:E628)</f>
        <v>0.30800000000000005</v>
      </c>
      <c r="F625" s="119"/>
      <c r="G625" s="119"/>
      <c r="H625" s="132"/>
    </row>
    <row r="626" spans="1:18" ht="15" customHeight="1">
      <c r="A626" s="275" t="s">
        <v>5</v>
      </c>
      <c r="B626" s="275"/>
      <c r="C626" s="78" t="s">
        <v>17</v>
      </c>
      <c r="D626" s="79" t="s">
        <v>18</v>
      </c>
      <c r="E626" s="78" t="s">
        <v>7</v>
      </c>
      <c r="F626" s="119"/>
      <c r="G626" s="121" t="str">
        <f>CONCATENATE("Misc. Healthy parts/ Non Ferrous  Scrap, Lying at ",C627,". Quantity in MT - ")</f>
        <v>Misc. Healthy parts/ Non Ferrous  Scrap, Lying at OL store Malerkotla. Quantity in MT - </v>
      </c>
      <c r="H626" s="309" t="str">
        <f ca="1">CONCATENATE(G626,G627,(INDIRECT(I627)),(INDIRECT(J627)),(INDIRECT(K627)),(INDIRECT(L627)),(INDIRECT(M627)),(INDIRECT(N627)),(INDIRECT(O627)),(INDIRECT(P627)),(INDIRECT(Q627)),(INDIRECT(R627)),".")</f>
        <v>Misc. Healthy parts/ Non Ferrous  Scrap, Lying at OL store Malerkotla. Quantity in MT - Misc. Alumn. Scrap - 0.028, Misc. copper scrap - 0.28, .</v>
      </c>
      <c r="I626" s="128" t="str">
        <f aca="true" ca="1" t="array" ref="I626">CELL("address",INDEX(G626:G649,MATCH(TRUE,ISBLANK(G626:G649),0)))</f>
        <v>$G$629</v>
      </c>
      <c r="J626" s="128">
        <f aca="true" t="array" ref="J626">MATCH(TRUE,ISBLANK(G626:G649),0)</f>
        <v>4</v>
      </c>
      <c r="K626" s="128">
        <f>J626-3</f>
        <v>1</v>
      </c>
      <c r="L626" s="128"/>
      <c r="M626" s="128"/>
      <c r="N626" s="128"/>
      <c r="O626" s="128"/>
      <c r="P626" s="128"/>
      <c r="Q626" s="128"/>
      <c r="R626" s="128"/>
    </row>
    <row r="627" spans="1:18" ht="15" customHeight="1">
      <c r="A627" s="304" t="s">
        <v>54</v>
      </c>
      <c r="B627" s="305"/>
      <c r="C627" s="296" t="s">
        <v>118</v>
      </c>
      <c r="D627" s="73" t="s">
        <v>31</v>
      </c>
      <c r="E627" s="52">
        <v>0.028</v>
      </c>
      <c r="F627" s="119"/>
      <c r="G627" s="119" t="str">
        <f>CONCATENATE(D627," - ",E627,", ")</f>
        <v>Misc. Alumn. Scrap - 0.028, </v>
      </c>
      <c r="H627" s="309"/>
      <c r="I627" s="128" t="str">
        <f ca="1">IF(J626&gt;=3,(MID(I626,2,1)&amp;MID(I626,4,4)-K626),CELL("address",Z627))</f>
        <v>G628</v>
      </c>
      <c r="J627" s="128" t="str">
        <f ca="1">IF(J626&gt;=4,(MID(I627,1,1)&amp;MID(I627,2,4)+1),CELL("address",AA627))</f>
        <v>G629</v>
      </c>
      <c r="K627" s="128" t="str">
        <f ca="1">IF(J626&gt;=5,(MID(J627,1,1)&amp;MID(J627,2,4)+1),CELL("address",AB627))</f>
        <v>$AB$627</v>
      </c>
      <c r="L627" s="128" t="str">
        <f ca="1">IF(J626&gt;=6,(MID(K627,1,1)&amp;MID(K627,2,4)+1),CELL("address",AC627))</f>
        <v>$AC$627</v>
      </c>
      <c r="M627" s="128" t="str">
        <f ca="1">IF(J626&gt;=7,(MID(L627,1,1)&amp;MID(L627,2,4)+1),CELL("address",AD627))</f>
        <v>$AD$627</v>
      </c>
      <c r="N627" s="128" t="str">
        <f ca="1">IF(J626&gt;=8,(MID(M627,1,1)&amp;MID(M627,2,4)+1),CELL("address",AE627))</f>
        <v>$AE$627</v>
      </c>
      <c r="O627" s="128" t="str">
        <f ca="1">IF(J626&gt;=9,(MID(N627,1,1)&amp;MID(N627,2,4)+1),CELL("address",AF627))</f>
        <v>$AF$627</v>
      </c>
      <c r="P627" s="128" t="str">
        <f ca="1">IF(J626&gt;=10,(MID(O627,1,1)&amp;MID(O627,2,4)+1),CELL("address",AG627))</f>
        <v>$AG$627</v>
      </c>
      <c r="Q627" s="128" t="str">
        <f ca="1">IF(J626&gt;=11,(MID(P627,1,1)&amp;MID(P627,2,4)+1),CELL("address",AH627))</f>
        <v>$AH$627</v>
      </c>
      <c r="R627" s="128" t="str">
        <f ca="1">IF(J626&gt;=12,(MID(Q627,1,1)&amp;MID(Q627,2,4)+1),CELL("address",AI627))</f>
        <v>$AI$627</v>
      </c>
    </row>
    <row r="628" spans="1:8" ht="15" customHeight="1">
      <c r="A628" s="331"/>
      <c r="B628" s="332"/>
      <c r="C628" s="298"/>
      <c r="D628" s="73" t="s">
        <v>113</v>
      </c>
      <c r="E628" s="78">
        <v>0.28</v>
      </c>
      <c r="F628" s="119"/>
      <c r="G628" s="119" t="str">
        <f>CONCATENATE(D628," - ",E628,", ")</f>
        <v>Misc. copper scrap - 0.28, </v>
      </c>
      <c r="H628" s="132"/>
    </row>
    <row r="629" spans="1:8" ht="15" customHeight="1">
      <c r="A629" s="283"/>
      <c r="B629" s="290"/>
      <c r="C629" s="199"/>
      <c r="D629" s="73"/>
      <c r="E629" s="78"/>
      <c r="F629" s="119"/>
      <c r="G629" s="119"/>
      <c r="H629" s="132"/>
    </row>
    <row r="630" spans="1:8" ht="15" customHeight="1">
      <c r="A630" s="288"/>
      <c r="B630" s="289"/>
      <c r="C630" s="81"/>
      <c r="D630" s="81"/>
      <c r="E630" s="82">
        <f>SUM(E632:E633)</f>
        <v>0.067</v>
      </c>
      <c r="F630" s="119"/>
      <c r="G630" s="119"/>
      <c r="H630" s="132"/>
    </row>
    <row r="631" spans="1:18" ht="15" customHeight="1">
      <c r="A631" s="275" t="s">
        <v>5</v>
      </c>
      <c r="B631" s="275"/>
      <c r="C631" s="78" t="s">
        <v>17</v>
      </c>
      <c r="D631" s="79" t="s">
        <v>18</v>
      </c>
      <c r="E631" s="78" t="s">
        <v>7</v>
      </c>
      <c r="F631" s="119"/>
      <c r="G631" s="121" t="str">
        <f>CONCATENATE("Misc. Healthy parts/ Non Ferrous  Scrap, Lying at ",C632,". Quantity in MT - ")</f>
        <v>Misc. Healthy parts/ Non Ferrous  Scrap, Lying at TRY Malerkotla. Quantity in MT - </v>
      </c>
      <c r="H631" s="309" t="str">
        <f ca="1">CONCATENATE(G631,G632,(INDIRECT(I632)),(INDIRECT(J632)),(INDIRECT(K632)),(INDIRECT(L632)),(INDIRECT(M632)),(INDIRECT(N632)),(INDIRECT(O632)),(INDIRECT(P632)),(INDIRECT(Q632)),(INDIRECT(R632)),".")</f>
        <v>Misc. Healthy parts/ Non Ferrous  Scrap, Lying at TRY Malerkotla. Quantity in MT - Brass scrap - 0.062, Misc. Alumn. Scrap - 0.005, .</v>
      </c>
      <c r="I631" s="128" t="str">
        <f aca="true" ca="1" t="array" ref="I631">CELL("address",INDEX(G631:G654,MATCH(TRUE,ISBLANK(G631:G654),0)))</f>
        <v>$G$634</v>
      </c>
      <c r="J631" s="128">
        <f aca="true" t="array" ref="J631">MATCH(TRUE,ISBLANK(G631:G654),0)</f>
        <v>4</v>
      </c>
      <c r="K631" s="128">
        <f>J631-3</f>
        <v>1</v>
      </c>
      <c r="L631" s="128"/>
      <c r="M631" s="128"/>
      <c r="N631" s="128"/>
      <c r="O631" s="128"/>
      <c r="P631" s="128"/>
      <c r="Q631" s="128"/>
      <c r="R631" s="128"/>
    </row>
    <row r="632" spans="1:18" ht="15" customHeight="1">
      <c r="A632" s="275" t="s">
        <v>117</v>
      </c>
      <c r="B632" s="275"/>
      <c r="C632" s="274" t="s">
        <v>28</v>
      </c>
      <c r="D632" s="50" t="s">
        <v>23</v>
      </c>
      <c r="E632" s="50">
        <v>0.062</v>
      </c>
      <c r="F632" s="119"/>
      <c r="G632" s="119" t="str">
        <f>CONCATENATE(D632," - ",E632,", ")</f>
        <v>Brass scrap - 0.062, </v>
      </c>
      <c r="H632" s="309"/>
      <c r="I632" s="128" t="str">
        <f ca="1">IF(J631&gt;=3,(MID(I631,2,1)&amp;MID(I631,4,4)-K631),CELL("address",Z632))</f>
        <v>G633</v>
      </c>
      <c r="J632" s="128" t="str">
        <f ca="1">IF(J631&gt;=4,(MID(I632,1,1)&amp;MID(I632,2,4)+1),CELL("address",AA632))</f>
        <v>G634</v>
      </c>
      <c r="K632" s="128" t="str">
        <f ca="1">IF(J631&gt;=5,(MID(J632,1,1)&amp;MID(J632,2,4)+1),CELL("address",AB632))</f>
        <v>$AB$632</v>
      </c>
      <c r="L632" s="128" t="str">
        <f ca="1">IF(J631&gt;=6,(MID(K632,1,1)&amp;MID(K632,2,4)+1),CELL("address",AC632))</f>
        <v>$AC$632</v>
      </c>
      <c r="M632" s="128" t="str">
        <f ca="1">IF(J631&gt;=7,(MID(L632,1,1)&amp;MID(L632,2,4)+1),CELL("address",AD632))</f>
        <v>$AD$632</v>
      </c>
      <c r="N632" s="128" t="str">
        <f ca="1">IF(J631&gt;=8,(MID(M632,1,1)&amp;MID(M632,2,4)+1),CELL("address",AE632))</f>
        <v>$AE$632</v>
      </c>
      <c r="O632" s="128" t="str">
        <f ca="1">IF(J631&gt;=9,(MID(N632,1,1)&amp;MID(N632,2,4)+1),CELL("address",AF632))</f>
        <v>$AF$632</v>
      </c>
      <c r="P632" s="128" t="str">
        <f ca="1">IF(J631&gt;=10,(MID(O632,1,1)&amp;MID(O632,2,4)+1),CELL("address",AG632))</f>
        <v>$AG$632</v>
      </c>
      <c r="Q632" s="128" t="str">
        <f ca="1">IF(J631&gt;=11,(MID(P632,1,1)&amp;MID(P632,2,4)+1),CELL("address",AH632))</f>
        <v>$AH$632</v>
      </c>
      <c r="R632" s="128" t="str">
        <f ca="1">IF(J631&gt;=12,(MID(Q632,1,1)&amp;MID(Q632,2,4)+1),CELL("address",AI632))</f>
        <v>$AI$632</v>
      </c>
    </row>
    <row r="633" spans="1:8" ht="15" customHeight="1">
      <c r="A633" s="275"/>
      <c r="B633" s="275"/>
      <c r="C633" s="274"/>
      <c r="D633" s="50" t="s">
        <v>31</v>
      </c>
      <c r="E633" s="78">
        <v>0.005</v>
      </c>
      <c r="F633" s="119"/>
      <c r="G633" s="119" t="str">
        <f>CONCATENATE(D633," - ",E633,", ")</f>
        <v>Misc. Alumn. Scrap - 0.005, </v>
      </c>
      <c r="H633" s="132"/>
    </row>
    <row r="634" spans="1:8" ht="15" customHeight="1">
      <c r="A634" s="283"/>
      <c r="B634" s="290"/>
      <c r="C634" s="199"/>
      <c r="D634" s="50"/>
      <c r="E634" s="78"/>
      <c r="F634" s="119"/>
      <c r="G634" s="119"/>
      <c r="H634" s="132"/>
    </row>
    <row r="635" spans="1:8" ht="15" customHeight="1">
      <c r="A635" s="288"/>
      <c r="B635" s="289"/>
      <c r="C635" s="81"/>
      <c r="D635" s="81"/>
      <c r="E635" s="82">
        <f>SUM(E637:E641)</f>
        <v>1.432</v>
      </c>
      <c r="F635" s="119"/>
      <c r="G635" s="119"/>
      <c r="H635" s="132"/>
    </row>
    <row r="636" spans="1:18" ht="15" customHeight="1">
      <c r="A636" s="283" t="s">
        <v>5</v>
      </c>
      <c r="B636" s="290"/>
      <c r="C636" s="78" t="s">
        <v>17</v>
      </c>
      <c r="D636" s="79" t="s">
        <v>18</v>
      </c>
      <c r="E636" s="78" t="s">
        <v>7</v>
      </c>
      <c r="F636" s="119"/>
      <c r="G636" s="121" t="str">
        <f>CONCATENATE("Misc. Healthy parts/ Non Ferrous  Scrap, Lying at ",C637,". Quantity in MT - ")</f>
        <v>Misc. Healthy parts/ Non Ferrous  Scrap, Lying at TRY Patran. Quantity in MT - </v>
      </c>
      <c r="H636" s="309" t="str">
        <f ca="1">CONCATENATE(G636,G637,(INDIRECT(I637)),(INDIRECT(J637)),(INDIRECT(K637)),(INDIRECT(L637)),(INDIRECT(M637)),(INDIRECT(N637)),(INDIRECT(O637)),(INDIRECT(P637)),(INDIRECT(Q637)),(INDIRECT(R637)),".")</f>
        <v>Misc. Healthy parts/ Non Ferrous  Scrap, Lying at TRY Patran. Quantity in MT - Brass scrap - 0.642, Misc. Aluminium scrap - 0.071, Burnt Cu scrap - 0.028, Ms Nuts &amp; Bolts - 0.6, Iron scrap - 0.091, .</v>
      </c>
      <c r="I636" s="128" t="str">
        <f aca="true" ca="1" t="array" ref="I636">CELL("address",INDEX(G636:G659,MATCH(TRUE,ISBLANK(G636:G659),0)))</f>
        <v>$G$642</v>
      </c>
      <c r="J636" s="128">
        <f aca="true" t="array" ref="J636">MATCH(TRUE,ISBLANK(G636:G659),0)</f>
        <v>7</v>
      </c>
      <c r="K636" s="128">
        <f>J636-3</f>
        <v>4</v>
      </c>
      <c r="L636" s="128"/>
      <c r="M636" s="128"/>
      <c r="N636" s="128"/>
      <c r="O636" s="128"/>
      <c r="P636" s="128"/>
      <c r="Q636" s="128"/>
      <c r="R636" s="128"/>
    </row>
    <row r="637" spans="1:18" ht="15" customHeight="1">
      <c r="A637" s="275" t="s">
        <v>119</v>
      </c>
      <c r="B637" s="275"/>
      <c r="C637" s="296" t="s">
        <v>138</v>
      </c>
      <c r="D637" s="45" t="s">
        <v>23</v>
      </c>
      <c r="E637" s="51">
        <v>0.642</v>
      </c>
      <c r="F637" s="119"/>
      <c r="G637" s="119" t="str">
        <f>CONCATENATE(D637," - ",E637,", ")</f>
        <v>Brass scrap - 0.642, </v>
      </c>
      <c r="H637" s="309"/>
      <c r="I637" s="128" t="str">
        <f ca="1">IF(J636&gt;=3,(MID(I636,2,1)&amp;MID(I636,4,4)-K636),CELL("address",Z637))</f>
        <v>G638</v>
      </c>
      <c r="J637" s="128" t="str">
        <f ca="1">IF(J636&gt;=4,(MID(I637,1,1)&amp;MID(I637,2,4)+1),CELL("address",AA637))</f>
        <v>G639</v>
      </c>
      <c r="K637" s="128" t="str">
        <f ca="1">IF(J636&gt;=5,(MID(J637,1,1)&amp;MID(J637,2,4)+1),CELL("address",AB637))</f>
        <v>G640</v>
      </c>
      <c r="L637" s="128" t="str">
        <f ca="1">IF(J636&gt;=6,(MID(K637,1,1)&amp;MID(K637,2,4)+1),CELL("address",AC637))</f>
        <v>G641</v>
      </c>
      <c r="M637" s="128" t="str">
        <f ca="1">IF(J636&gt;=7,(MID(L637,1,1)&amp;MID(L637,2,4)+1),CELL("address",AD637))</f>
        <v>G642</v>
      </c>
      <c r="N637" s="128" t="str">
        <f ca="1">IF(J636&gt;=8,(MID(M637,1,1)&amp;MID(M637,2,4)+1),CELL("address",AE637))</f>
        <v>$AE$637</v>
      </c>
      <c r="O637" s="128" t="str">
        <f ca="1">IF(J636&gt;=9,(MID(N637,1,1)&amp;MID(N637,2,4)+1),CELL("address",AF637))</f>
        <v>$AF$637</v>
      </c>
      <c r="P637" s="128" t="str">
        <f ca="1">IF(J636&gt;=10,(MID(O637,1,1)&amp;MID(O637,2,4)+1),CELL("address",AG637))</f>
        <v>$AG$637</v>
      </c>
      <c r="Q637" s="128" t="str">
        <f ca="1">IF(J636&gt;=11,(MID(P637,1,1)&amp;MID(P637,2,4)+1),CELL("address",AH637))</f>
        <v>$AH$637</v>
      </c>
      <c r="R637" s="128" t="str">
        <f ca="1">IF(J636&gt;=12,(MID(Q637,1,1)&amp;MID(Q637,2,4)+1),CELL("address",AI637))</f>
        <v>$AI$637</v>
      </c>
    </row>
    <row r="638" spans="1:8" ht="15" customHeight="1">
      <c r="A638" s="275"/>
      <c r="B638" s="275"/>
      <c r="C638" s="297"/>
      <c r="D638" s="45" t="s">
        <v>24</v>
      </c>
      <c r="E638" s="51">
        <v>0.071</v>
      </c>
      <c r="F638" s="119"/>
      <c r="G638" s="119" t="str">
        <f>CONCATENATE(D638," - ",E638,", ")</f>
        <v>Misc. Aluminium scrap - 0.071, </v>
      </c>
      <c r="H638" s="132"/>
    </row>
    <row r="639" spans="1:8" ht="15" customHeight="1">
      <c r="A639" s="275"/>
      <c r="B639" s="275"/>
      <c r="C639" s="297"/>
      <c r="D639" s="45" t="s">
        <v>37</v>
      </c>
      <c r="E639" s="51">
        <v>0.028</v>
      </c>
      <c r="F639" s="119"/>
      <c r="G639" s="119" t="str">
        <f>CONCATENATE(D639," - ",E639,", ")</f>
        <v>Burnt Cu scrap - 0.028, </v>
      </c>
      <c r="H639" s="132"/>
    </row>
    <row r="640" spans="1:8" ht="15" customHeight="1">
      <c r="A640" s="275"/>
      <c r="B640" s="275"/>
      <c r="C640" s="297"/>
      <c r="D640" s="50" t="s">
        <v>149</v>
      </c>
      <c r="E640" s="51">
        <v>0.6</v>
      </c>
      <c r="F640" s="119"/>
      <c r="G640" s="119" t="str">
        <f>CONCATENATE(D640," - ",E640,", ")</f>
        <v>Ms Nuts &amp; Bolts - 0.6, </v>
      </c>
      <c r="H640" s="132"/>
    </row>
    <row r="641" spans="1:8" ht="15" customHeight="1">
      <c r="A641" s="275"/>
      <c r="B641" s="275"/>
      <c r="C641" s="298"/>
      <c r="D641" s="45" t="s">
        <v>27</v>
      </c>
      <c r="E641" s="51">
        <v>0.091</v>
      </c>
      <c r="F641" s="119"/>
      <c r="G641" s="119" t="str">
        <f>CONCATENATE(D641," - ",E641,", ")</f>
        <v>Iron scrap - 0.091, </v>
      </c>
      <c r="H641" s="132"/>
    </row>
    <row r="642" spans="1:8" ht="15" customHeight="1">
      <c r="A642" s="55"/>
      <c r="B642" s="71"/>
      <c r="C642" s="206"/>
      <c r="D642" s="50"/>
      <c r="E642" s="51"/>
      <c r="F642" s="119"/>
      <c r="G642" s="119"/>
      <c r="H642" s="132"/>
    </row>
    <row r="643" spans="1:8" ht="15" customHeight="1">
      <c r="A643" s="288"/>
      <c r="B643" s="289"/>
      <c r="C643" s="81"/>
      <c r="D643" s="81"/>
      <c r="E643" s="82">
        <f>SUM(E645:E646)</f>
        <v>0.8340000000000001</v>
      </c>
      <c r="F643" s="119"/>
      <c r="G643" s="119"/>
      <c r="H643" s="132"/>
    </row>
    <row r="644" spans="1:18" ht="15" customHeight="1">
      <c r="A644" s="275" t="s">
        <v>5</v>
      </c>
      <c r="B644" s="275"/>
      <c r="C644" s="78" t="s">
        <v>17</v>
      </c>
      <c r="D644" s="79" t="s">
        <v>18</v>
      </c>
      <c r="E644" s="78" t="s">
        <v>7</v>
      </c>
      <c r="F644" s="119"/>
      <c r="G644" s="121" t="str">
        <f>CONCATENATE("Misc. Healthy parts/ Non Ferrous  Scrap, Lying at ",C645,". Quantity in MT - ")</f>
        <v>Misc. Healthy parts/ Non Ferrous  Scrap, Lying at TRY Patran. Quantity in MT - </v>
      </c>
      <c r="H644" s="309" t="str">
        <f ca="1">CONCATENATE(G644,G645,(INDIRECT(I645)),(INDIRECT(J645)),(INDIRECT(K645)),(INDIRECT(L645)),(INDIRECT(M645)),(INDIRECT(N645)),(INDIRECT(O645)),(INDIRECT(P645)),(INDIRECT(Q645)),(INDIRECT(R645)),".")</f>
        <v>Misc. Healthy parts/ Non Ferrous  Scrap, Lying at TRY Patran. Quantity in MT - Brass scrap - 0.783, Misc. Alumn. Scrap - 0.051, .</v>
      </c>
      <c r="I644" s="128" t="str">
        <f aca="true" ca="1" t="array" ref="I644">CELL("address",INDEX(G644:G666,MATCH(TRUE,ISBLANK(G644:G666),0)))</f>
        <v>$G$647</v>
      </c>
      <c r="J644" s="128">
        <f aca="true" t="array" ref="J644">MATCH(TRUE,ISBLANK(G644:G666),0)</f>
        <v>4</v>
      </c>
      <c r="K644" s="128">
        <f>J644-3</f>
        <v>1</v>
      </c>
      <c r="L644" s="128"/>
      <c r="M644" s="128"/>
      <c r="N644" s="128"/>
      <c r="O644" s="128"/>
      <c r="P644" s="128"/>
      <c r="Q644" s="128"/>
      <c r="R644" s="128"/>
    </row>
    <row r="645" spans="1:18" ht="15" customHeight="1">
      <c r="A645" s="275" t="s">
        <v>120</v>
      </c>
      <c r="B645" s="275"/>
      <c r="C645" s="274" t="s">
        <v>138</v>
      </c>
      <c r="D645" s="50" t="s">
        <v>23</v>
      </c>
      <c r="E645" s="50">
        <v>0.783</v>
      </c>
      <c r="F645" s="119"/>
      <c r="G645" s="119" t="str">
        <f>CONCATENATE(D645," - ",E645,", ")</f>
        <v>Brass scrap - 0.783, </v>
      </c>
      <c r="H645" s="309"/>
      <c r="I645" s="128" t="str">
        <f ca="1">IF(J644&gt;=3,(MID(I644,2,1)&amp;MID(I644,4,4)-K644),CELL("address",Z645))</f>
        <v>G646</v>
      </c>
      <c r="J645" s="128" t="str">
        <f ca="1">IF(J644&gt;=4,(MID(I645,1,1)&amp;MID(I645,2,4)+1),CELL("address",AA645))</f>
        <v>G647</v>
      </c>
      <c r="K645" s="128" t="str">
        <f ca="1">IF(J644&gt;=5,(MID(J645,1,1)&amp;MID(J645,2,4)+1),CELL("address",AB645))</f>
        <v>$AB$645</v>
      </c>
      <c r="L645" s="128" t="str">
        <f ca="1">IF(J644&gt;=6,(MID(K645,1,1)&amp;MID(K645,2,4)+1),CELL("address",AC645))</f>
        <v>$AC$645</v>
      </c>
      <c r="M645" s="128" t="str">
        <f ca="1">IF(J644&gt;=7,(MID(L645,1,1)&amp;MID(L645,2,4)+1),CELL("address",AD645))</f>
        <v>$AD$645</v>
      </c>
      <c r="N645" s="128" t="str">
        <f ca="1">IF(J644&gt;=8,(MID(M645,1,1)&amp;MID(M645,2,4)+1),CELL("address",AE645))</f>
        <v>$AE$645</v>
      </c>
      <c r="O645" s="128" t="str">
        <f ca="1">IF(J644&gt;=9,(MID(N645,1,1)&amp;MID(N645,2,4)+1),CELL("address",AF645))</f>
        <v>$AF$645</v>
      </c>
      <c r="P645" s="128" t="str">
        <f ca="1">IF(J644&gt;=10,(MID(O645,1,1)&amp;MID(O645,2,4)+1),CELL("address",AG645))</f>
        <v>$AG$645</v>
      </c>
      <c r="Q645" s="128" t="str">
        <f ca="1">IF(J644&gt;=11,(MID(P645,1,1)&amp;MID(P645,2,4)+1),CELL("address",AH645))</f>
        <v>$AH$645</v>
      </c>
      <c r="R645" s="128" t="str">
        <f ca="1">IF(J644&gt;=12,(MID(Q645,1,1)&amp;MID(Q645,2,4)+1),CELL("address",AI645))</f>
        <v>$AI$645</v>
      </c>
    </row>
    <row r="646" spans="1:8" ht="15" customHeight="1">
      <c r="A646" s="275"/>
      <c r="B646" s="275"/>
      <c r="C646" s="274"/>
      <c r="D646" s="50" t="s">
        <v>31</v>
      </c>
      <c r="E646" s="78">
        <v>0.051</v>
      </c>
      <c r="F646" s="119"/>
      <c r="G646" s="119" t="str">
        <f>CONCATENATE(D646," - ",E646,", ")</f>
        <v>Misc. Alumn. Scrap - 0.051, </v>
      </c>
      <c r="H646" s="132"/>
    </row>
    <row r="647" spans="1:8" ht="15" customHeight="1">
      <c r="A647" s="40"/>
      <c r="F647" s="119"/>
      <c r="G647" s="119"/>
      <c r="H647" s="132"/>
    </row>
    <row r="648" spans="1:8" ht="15" customHeight="1">
      <c r="A648" s="288"/>
      <c r="B648" s="289"/>
      <c r="C648" s="81"/>
      <c r="D648" s="81"/>
      <c r="E648" s="82">
        <f>SUM(E650:E651)</f>
        <v>2.17</v>
      </c>
      <c r="F648" s="119"/>
      <c r="G648" s="119"/>
      <c r="H648" s="132"/>
    </row>
    <row r="649" spans="1:18" ht="15" customHeight="1">
      <c r="A649" s="275" t="s">
        <v>5</v>
      </c>
      <c r="B649" s="275"/>
      <c r="C649" s="78" t="s">
        <v>17</v>
      </c>
      <c r="D649" s="79" t="s">
        <v>18</v>
      </c>
      <c r="E649" s="78" t="s">
        <v>7</v>
      </c>
      <c r="F649" s="119"/>
      <c r="G649" s="121" t="str">
        <f>CONCATENATE("Misc. Healthy parts/ Non Ferrous  Scrap, Lying at ",C650,". Quantity in MT - ")</f>
        <v>Misc. Healthy parts/ Non Ferrous  Scrap, Lying at TRY Ropar. Quantity in MT - </v>
      </c>
      <c r="H649" s="309" t="str">
        <f ca="1">CONCATENATE(G649,G650,(INDIRECT(I650)),(INDIRECT(J650)),(INDIRECT(K650)),(INDIRECT(L650)),(INDIRECT(M650)),(INDIRECT(N650)),(INDIRECT(O650)),(INDIRECT(P650)),(INDIRECT(Q650)),(INDIRECT(R650)),".")</f>
        <v>Misc. Healthy parts/ Non Ferrous  Scrap, Lying at TRY Ropar. Quantity in MT - Brass scrap - 2.007, Misc. Alumn. Scrap - 0.163, .</v>
      </c>
      <c r="I649" s="128" t="str">
        <f aca="true" ca="1" t="array" ref="I649">CELL("address",INDEX(G649:G671,MATCH(TRUE,ISBLANK(G649:G671),0)))</f>
        <v>$G$652</v>
      </c>
      <c r="J649" s="128">
        <f aca="true" t="array" ref="J649">MATCH(TRUE,ISBLANK(G649:G671),0)</f>
        <v>4</v>
      </c>
      <c r="K649" s="128">
        <f>J649-3</f>
        <v>1</v>
      </c>
      <c r="L649" s="128"/>
      <c r="M649" s="128"/>
      <c r="N649" s="128"/>
      <c r="O649" s="128"/>
      <c r="P649" s="128"/>
      <c r="Q649" s="128"/>
      <c r="R649" s="128"/>
    </row>
    <row r="650" spans="1:18" ht="15" customHeight="1">
      <c r="A650" s="275" t="s">
        <v>127</v>
      </c>
      <c r="B650" s="275"/>
      <c r="C650" s="274" t="s">
        <v>145</v>
      </c>
      <c r="D650" s="50" t="s">
        <v>23</v>
      </c>
      <c r="E650" s="50">
        <v>2.007</v>
      </c>
      <c r="F650" s="119"/>
      <c r="G650" s="119" t="str">
        <f>CONCATENATE(D650," - ",E650,", ")</f>
        <v>Brass scrap - 2.007, </v>
      </c>
      <c r="H650" s="309"/>
      <c r="I650" s="128" t="str">
        <f ca="1">IF(J649&gt;=3,(MID(I649,2,1)&amp;MID(I649,4,4)-K649),CELL("address",Z650))</f>
        <v>G651</v>
      </c>
      <c r="J650" s="128" t="str">
        <f ca="1">IF(J649&gt;=4,(MID(I650,1,1)&amp;MID(I650,2,4)+1),CELL("address",AA650))</f>
        <v>G652</v>
      </c>
      <c r="K650" s="128" t="str">
        <f ca="1">IF(J649&gt;=5,(MID(J650,1,1)&amp;MID(J650,2,4)+1),CELL("address",AB650))</f>
        <v>$AB$650</v>
      </c>
      <c r="L650" s="128" t="str">
        <f ca="1">IF(J649&gt;=6,(MID(K650,1,1)&amp;MID(K650,2,4)+1),CELL("address",AC650))</f>
        <v>$AC$650</v>
      </c>
      <c r="M650" s="128" t="str">
        <f ca="1">IF(J649&gt;=7,(MID(L650,1,1)&amp;MID(L650,2,4)+1),CELL("address",AD650))</f>
        <v>$AD$650</v>
      </c>
      <c r="N650" s="128" t="str">
        <f ca="1">IF(J649&gt;=8,(MID(M650,1,1)&amp;MID(M650,2,4)+1),CELL("address",AE650))</f>
        <v>$AE$650</v>
      </c>
      <c r="O650" s="128" t="str">
        <f ca="1">IF(J649&gt;=9,(MID(N650,1,1)&amp;MID(N650,2,4)+1),CELL("address",AF650))</f>
        <v>$AF$650</v>
      </c>
      <c r="P650" s="128" t="str">
        <f ca="1">IF(J649&gt;=10,(MID(O650,1,1)&amp;MID(O650,2,4)+1),CELL("address",AG650))</f>
        <v>$AG$650</v>
      </c>
      <c r="Q650" s="128" t="str">
        <f ca="1">IF(J649&gt;=11,(MID(P650,1,1)&amp;MID(P650,2,4)+1),CELL("address",AH650))</f>
        <v>$AH$650</v>
      </c>
      <c r="R650" s="128" t="str">
        <f ca="1">IF(J649&gt;=12,(MID(Q650,1,1)&amp;MID(Q650,2,4)+1),CELL("address",AI650))</f>
        <v>$AI$650</v>
      </c>
    </row>
    <row r="651" spans="1:8" ht="15" customHeight="1">
      <c r="A651" s="275"/>
      <c r="B651" s="275"/>
      <c r="C651" s="274"/>
      <c r="D651" s="50" t="s">
        <v>31</v>
      </c>
      <c r="E651" s="78">
        <v>0.163</v>
      </c>
      <c r="F651" s="119"/>
      <c r="G651" s="119" t="str">
        <f>CONCATENATE(D651," - ",E651,", ")</f>
        <v>Misc. Alumn. Scrap - 0.163, </v>
      </c>
      <c r="H651" s="132"/>
    </row>
    <row r="652" spans="1:8" ht="15" customHeight="1">
      <c r="A652" s="57"/>
      <c r="B652" s="60"/>
      <c r="C652" s="22"/>
      <c r="D652" s="101"/>
      <c r="E652" s="100"/>
      <c r="F652" s="119"/>
      <c r="G652" s="119"/>
      <c r="H652" s="132"/>
    </row>
    <row r="653" spans="1:8" ht="15" customHeight="1">
      <c r="A653" s="288"/>
      <c r="B653" s="289"/>
      <c r="C653" s="81"/>
      <c r="D653" s="81"/>
      <c r="E653" s="82">
        <f>SUM(E655:E659)</f>
        <v>1.1320000000000001</v>
      </c>
      <c r="F653" s="119"/>
      <c r="G653" s="119"/>
      <c r="H653" s="132"/>
    </row>
    <row r="654" spans="1:18" ht="15" customHeight="1">
      <c r="A654" s="275" t="s">
        <v>5</v>
      </c>
      <c r="B654" s="275"/>
      <c r="C654" s="78" t="s">
        <v>17</v>
      </c>
      <c r="D654" s="79" t="s">
        <v>18</v>
      </c>
      <c r="E654" s="78" t="s">
        <v>7</v>
      </c>
      <c r="F654" s="119"/>
      <c r="G654" s="121" t="str">
        <f>CONCATENATE("Misc. Healthy parts/ Non Ferrous  Scrap, Lying at ",C655,". Quantity in MT - ")</f>
        <v>Misc. Healthy parts/ Non Ferrous  Scrap, Lying at TRY Patiala. Quantity in MT - </v>
      </c>
      <c r="H654" s="309" t="str">
        <f ca="1">CONCATENATE(G654,G655,(INDIRECT(I655)),(INDIRECT(J655)),(INDIRECT(K655)),(INDIRECT(L655)),(INDIRECT(M655)),(INDIRECT(N655)),(INDIRECT(O655)),(INDIRECT(P655)),(INDIRECT(Q655)),(INDIRECT(R655)),".")</f>
        <v>Misc. Healthy parts/ Non Ferrous  Scrap, Lying at TRY Patiala. Quantity in MT - Brass scrap - 0.46, Misc. Alumn. Scrap - 0.043, Burnt Cu scrap - 0.033, Nuts &amp; Bolts scrap - 0.52, Teen Patra scrap - 0.076, .</v>
      </c>
      <c r="I654" s="128" t="str">
        <f aca="true" ca="1" t="array" ref="I654">CELL("address",INDEX(G654:G676,MATCH(TRUE,ISBLANK(G654:G676),0)))</f>
        <v>$G$660</v>
      </c>
      <c r="J654" s="128">
        <f aca="true" t="array" ref="J654">MATCH(TRUE,ISBLANK(G654:G676),0)</f>
        <v>7</v>
      </c>
      <c r="K654" s="128">
        <f>J654-3</f>
        <v>4</v>
      </c>
      <c r="L654" s="128"/>
      <c r="M654" s="128"/>
      <c r="N654" s="128"/>
      <c r="O654" s="128"/>
      <c r="P654" s="128"/>
      <c r="Q654" s="128"/>
      <c r="R654" s="128"/>
    </row>
    <row r="655" spans="1:18" ht="15" customHeight="1">
      <c r="A655" s="275" t="s">
        <v>135</v>
      </c>
      <c r="B655" s="275"/>
      <c r="C655" s="274" t="s">
        <v>122</v>
      </c>
      <c r="D655" s="50" t="s">
        <v>23</v>
      </c>
      <c r="E655" s="52">
        <v>0.46</v>
      </c>
      <c r="F655" s="119"/>
      <c r="G655" s="119" t="str">
        <f>CONCATENATE(D655," - ",E655,", ")</f>
        <v>Brass scrap - 0.46, </v>
      </c>
      <c r="H655" s="309"/>
      <c r="I655" s="128" t="str">
        <f ca="1">IF(J654&gt;=3,(MID(I654,2,1)&amp;MID(I654,4,4)-K654),CELL("address",Z655))</f>
        <v>G656</v>
      </c>
      <c r="J655" s="128" t="str">
        <f ca="1">IF(J654&gt;=4,(MID(I655,1,1)&amp;MID(I655,2,4)+1),CELL("address",AA655))</f>
        <v>G657</v>
      </c>
      <c r="K655" s="128" t="str">
        <f ca="1">IF(J654&gt;=5,(MID(J655,1,1)&amp;MID(J655,2,4)+1),CELL("address",AB655))</f>
        <v>G658</v>
      </c>
      <c r="L655" s="128" t="str">
        <f ca="1">IF(J654&gt;=6,(MID(K655,1,1)&amp;MID(K655,2,4)+1),CELL("address",AC655))</f>
        <v>G659</v>
      </c>
      <c r="M655" s="128" t="str">
        <f ca="1">IF(J654&gt;=7,(MID(L655,1,1)&amp;MID(L655,2,4)+1),CELL("address",AD655))</f>
        <v>G660</v>
      </c>
      <c r="N655" s="128" t="str">
        <f ca="1">IF(J654&gt;=8,(MID(M655,1,1)&amp;MID(M655,2,4)+1),CELL("address",AE655))</f>
        <v>$AE$655</v>
      </c>
      <c r="O655" s="128" t="str">
        <f ca="1">IF(J654&gt;=9,(MID(N655,1,1)&amp;MID(N655,2,4)+1),CELL("address",AF655))</f>
        <v>$AF$655</v>
      </c>
      <c r="P655" s="128" t="str">
        <f ca="1">IF(J654&gt;=10,(MID(O655,1,1)&amp;MID(O655,2,4)+1),CELL("address",AG655))</f>
        <v>$AG$655</v>
      </c>
      <c r="Q655" s="128" t="str">
        <f ca="1">IF(J654&gt;=11,(MID(P655,1,1)&amp;MID(P655,2,4)+1),CELL("address",AH655))</f>
        <v>$AH$655</v>
      </c>
      <c r="R655" s="128" t="str">
        <f ca="1">IF(J654&gt;=12,(MID(Q655,1,1)&amp;MID(Q655,2,4)+1),CELL("address",AI655))</f>
        <v>$AI$655</v>
      </c>
    </row>
    <row r="656" spans="1:8" ht="15" customHeight="1">
      <c r="A656" s="275"/>
      <c r="B656" s="275"/>
      <c r="C656" s="274"/>
      <c r="D656" s="50" t="s">
        <v>31</v>
      </c>
      <c r="E656" s="90">
        <v>0.043</v>
      </c>
      <c r="F656" s="119"/>
      <c r="G656" s="119" t="str">
        <f>CONCATENATE(D656," - ",E656,", ")</f>
        <v>Misc. Alumn. Scrap - 0.043, </v>
      </c>
      <c r="H656" s="132"/>
    </row>
    <row r="657" spans="1:8" ht="15" customHeight="1">
      <c r="A657" s="275"/>
      <c r="B657" s="275"/>
      <c r="C657" s="274"/>
      <c r="D657" s="45" t="s">
        <v>37</v>
      </c>
      <c r="E657" s="159">
        <v>0.033</v>
      </c>
      <c r="F657" s="119"/>
      <c r="G657" s="119" t="str">
        <f>CONCATENATE(D657," - ",E657,", ")</f>
        <v>Burnt Cu scrap - 0.033, </v>
      </c>
      <c r="H657" s="132"/>
    </row>
    <row r="658" spans="1:8" ht="15" customHeight="1">
      <c r="A658" s="275"/>
      <c r="B658" s="275"/>
      <c r="C658" s="274"/>
      <c r="D658" s="45" t="s">
        <v>59</v>
      </c>
      <c r="E658" s="159">
        <v>0.52</v>
      </c>
      <c r="F658" s="119"/>
      <c r="G658" s="119" t="str">
        <f>CONCATENATE(D658," - ",E658,", ")</f>
        <v>Nuts &amp; Bolts scrap - 0.52, </v>
      </c>
      <c r="H658" s="132"/>
    </row>
    <row r="659" spans="1:8" ht="15" customHeight="1">
      <c r="A659" s="275"/>
      <c r="B659" s="275"/>
      <c r="C659" s="274"/>
      <c r="D659" s="45" t="s">
        <v>65</v>
      </c>
      <c r="E659" s="159">
        <v>0.076</v>
      </c>
      <c r="F659" s="119"/>
      <c r="G659" s="119" t="str">
        <f>CONCATENATE(D659," - ",E659,", ")</f>
        <v>Teen Patra scrap - 0.076, </v>
      </c>
      <c r="H659" s="132"/>
    </row>
    <row r="660" spans="1:8" ht="15" customHeight="1">
      <c r="A660" s="40"/>
      <c r="B660" s="1"/>
      <c r="C660" s="1"/>
      <c r="D660" s="1"/>
      <c r="E660" s="1"/>
      <c r="F660" s="119"/>
      <c r="G660" s="119"/>
      <c r="H660" s="132"/>
    </row>
    <row r="661" spans="1:8" ht="15" customHeight="1">
      <c r="A661" s="288"/>
      <c r="B661" s="289"/>
      <c r="C661" s="81"/>
      <c r="D661" s="81"/>
      <c r="E661" s="82">
        <f>SUM(E663:E664)</f>
        <v>0.89</v>
      </c>
      <c r="F661" s="119"/>
      <c r="G661" s="119"/>
      <c r="H661" s="132"/>
    </row>
    <row r="662" spans="1:18" ht="15" customHeight="1">
      <c r="A662" s="275" t="s">
        <v>5</v>
      </c>
      <c r="B662" s="275"/>
      <c r="C662" s="78" t="s">
        <v>17</v>
      </c>
      <c r="D662" s="79" t="s">
        <v>18</v>
      </c>
      <c r="E662" s="78" t="s">
        <v>7</v>
      </c>
      <c r="F662" s="119"/>
      <c r="G662" s="121" t="str">
        <f>CONCATENATE("Misc. Healthy parts/ Non Ferrous  Scrap, Lying at ",C663,". Quantity in MT - ")</f>
        <v>Misc. Healthy parts/ Non Ferrous  Scrap, Lying at TRY Patiala. Quantity in MT - </v>
      </c>
      <c r="H662" s="309" t="str">
        <f ca="1">CONCATENATE(G662,G663,(INDIRECT(I663)),(INDIRECT(J663)),(INDIRECT(K663)),(INDIRECT(L663)),(INDIRECT(M663)),(INDIRECT(N663)),(INDIRECT(O663)),(INDIRECT(P663)),(INDIRECT(Q663)),(INDIRECT(R663)),".")</f>
        <v>Misc. Healthy parts/ Non Ferrous  Scrap, Lying at TRY Patiala. Quantity in MT - Brass scrap - 0.846, Misc. Alumn. Scrap - 0.044, .</v>
      </c>
      <c r="I662" s="128" t="str">
        <f aca="true" ca="1" t="array" ref="I662">CELL("address",INDEX(G662:G684,MATCH(TRUE,ISBLANK(G662:G684),0)))</f>
        <v>$G$665</v>
      </c>
      <c r="J662" s="128">
        <f aca="true" t="array" ref="J662">MATCH(TRUE,ISBLANK(G662:G684),0)</f>
        <v>4</v>
      </c>
      <c r="K662" s="128">
        <f>J662-3</f>
        <v>1</v>
      </c>
      <c r="L662" s="128"/>
      <c r="M662" s="128"/>
      <c r="N662" s="128"/>
      <c r="O662" s="128"/>
      <c r="P662" s="128"/>
      <c r="Q662" s="128"/>
      <c r="R662" s="128"/>
    </row>
    <row r="663" spans="1:18" ht="15" customHeight="1">
      <c r="A663" s="275" t="s">
        <v>136</v>
      </c>
      <c r="B663" s="275"/>
      <c r="C663" s="274" t="s">
        <v>122</v>
      </c>
      <c r="D663" s="50" t="s">
        <v>23</v>
      </c>
      <c r="E663" s="52">
        <v>0.846</v>
      </c>
      <c r="F663" s="119"/>
      <c r="G663" s="119" t="str">
        <f>CONCATENATE(D663," - ",E663,", ")</f>
        <v>Brass scrap - 0.846, </v>
      </c>
      <c r="H663" s="309"/>
      <c r="I663" s="128" t="str">
        <f ca="1">IF(J662&gt;=3,(MID(I662,2,1)&amp;MID(I662,4,4)-K662),CELL("address",Z663))</f>
        <v>G664</v>
      </c>
      <c r="J663" s="128" t="str">
        <f ca="1">IF(J662&gt;=4,(MID(I663,1,1)&amp;MID(I663,2,4)+1),CELL("address",AA663))</f>
        <v>G665</v>
      </c>
      <c r="K663" s="128" t="str">
        <f ca="1">IF(J662&gt;=5,(MID(J663,1,1)&amp;MID(J663,2,4)+1),CELL("address",AB663))</f>
        <v>$AB$663</v>
      </c>
      <c r="L663" s="128" t="str">
        <f ca="1">IF(J662&gt;=6,(MID(K663,1,1)&amp;MID(K663,2,4)+1),CELL("address",AC663))</f>
        <v>$AC$663</v>
      </c>
      <c r="M663" s="128" t="str">
        <f ca="1">IF(J662&gt;=7,(MID(L663,1,1)&amp;MID(L663,2,4)+1),CELL("address",AD663))</f>
        <v>$AD$663</v>
      </c>
      <c r="N663" s="128" t="str">
        <f ca="1">IF(J662&gt;=8,(MID(M663,1,1)&amp;MID(M663,2,4)+1),CELL("address",AE663))</f>
        <v>$AE$663</v>
      </c>
      <c r="O663" s="128" t="str">
        <f ca="1">IF(J662&gt;=9,(MID(N663,1,1)&amp;MID(N663,2,4)+1),CELL("address",AF663))</f>
        <v>$AF$663</v>
      </c>
      <c r="P663" s="128" t="str">
        <f ca="1">IF(J662&gt;=10,(MID(O663,1,1)&amp;MID(O663,2,4)+1),CELL("address",AG663))</f>
        <v>$AG$663</v>
      </c>
      <c r="Q663" s="128" t="str">
        <f ca="1">IF(J662&gt;=11,(MID(P663,1,1)&amp;MID(P663,2,4)+1),CELL("address",AH663))</f>
        <v>$AH$663</v>
      </c>
      <c r="R663" s="128" t="str">
        <f ca="1">IF(J662&gt;=12,(MID(Q663,1,1)&amp;MID(Q663,2,4)+1),CELL("address",AI663))</f>
        <v>$AI$663</v>
      </c>
    </row>
    <row r="664" spans="1:8" ht="15" customHeight="1">
      <c r="A664" s="275"/>
      <c r="B664" s="275"/>
      <c r="C664" s="274"/>
      <c r="D664" s="50" t="s">
        <v>31</v>
      </c>
      <c r="E664" s="78">
        <v>0.044</v>
      </c>
      <c r="F664" s="119"/>
      <c r="G664" s="119" t="str">
        <f>CONCATENATE(D664," - ",E664,", ")</f>
        <v>Misc. Alumn. Scrap - 0.044, </v>
      </c>
      <c r="H664" s="132"/>
    </row>
    <row r="665" spans="1:8" ht="15" customHeight="1">
      <c r="A665" s="57"/>
      <c r="B665" s="60"/>
      <c r="C665" s="22"/>
      <c r="D665" s="105"/>
      <c r="E665" s="106"/>
      <c r="F665" s="119"/>
      <c r="G665" s="119"/>
      <c r="H665" s="132"/>
    </row>
    <row r="666" spans="1:8" ht="15" customHeight="1">
      <c r="A666" s="288"/>
      <c r="B666" s="289"/>
      <c r="C666" s="81"/>
      <c r="D666" s="81"/>
      <c r="E666" s="82">
        <f>SUM(E668:E669)</f>
        <v>0.027</v>
      </c>
      <c r="F666" s="119"/>
      <c r="G666" s="119"/>
      <c r="H666" s="132"/>
    </row>
    <row r="667" spans="1:18" ht="15" customHeight="1">
      <c r="A667" s="275" t="s">
        <v>5</v>
      </c>
      <c r="B667" s="275"/>
      <c r="C667" s="78" t="s">
        <v>17</v>
      </c>
      <c r="D667" s="79" t="s">
        <v>18</v>
      </c>
      <c r="E667" s="78" t="s">
        <v>7</v>
      </c>
      <c r="F667" s="119"/>
      <c r="G667" s="121" t="str">
        <f>CONCATENATE("Misc. Healthy parts/ Non Ferrous  Scrap, Lying at ",C668,". Quantity in MT - ")</f>
        <v>Misc. Healthy parts/ Non Ferrous  Scrap, Lying at CS Sangrur. Quantity in MT - </v>
      </c>
      <c r="H667" s="163" t="str">
        <f ca="1">CONCATENATE(G667,G668,(INDIRECT(I668)),(INDIRECT(J668)),(INDIRECT(K668)),(INDIRECT(L668)),(INDIRECT(M668)),(INDIRECT(N668)),(INDIRECT(O668)),(INDIRECT(P668)),(INDIRECT(Q668)),(INDIRECT(R668)),".")</f>
        <v>Misc. Healthy parts/ Non Ferrous  Scrap, Lying at CS Sangrur. Quantity in MT - Misc. copper scrap - 0.022, Misc. Alumn. Scrap - 0.005, .</v>
      </c>
      <c r="I667" s="128" t="str">
        <f aca="true" ca="1" t="array" ref="I667">CELL("address",INDEX(G667:G689,MATCH(TRUE,ISBLANK(G667:G689),0)))</f>
        <v>$G$670</v>
      </c>
      <c r="J667" s="128">
        <f aca="true" t="array" ref="J667">MATCH(TRUE,ISBLANK(G667:G689),0)</f>
        <v>4</v>
      </c>
      <c r="K667" s="128">
        <f>J667-3</f>
        <v>1</v>
      </c>
      <c r="L667" s="128"/>
      <c r="M667" s="128"/>
      <c r="N667" s="128"/>
      <c r="O667" s="128"/>
      <c r="P667" s="128"/>
      <c r="Q667" s="128"/>
      <c r="R667" s="128"/>
    </row>
    <row r="668" spans="1:18" ht="15" customHeight="1">
      <c r="A668" s="304" t="s">
        <v>143</v>
      </c>
      <c r="B668" s="305"/>
      <c r="C668" s="296" t="s">
        <v>80</v>
      </c>
      <c r="D668" s="73" t="s">
        <v>113</v>
      </c>
      <c r="E668" s="52">
        <v>0.022</v>
      </c>
      <c r="F668" s="119"/>
      <c r="G668" s="119" t="str">
        <f>CONCATENATE(D668," - ",E668,", ")</f>
        <v>Misc. copper scrap - 0.022, </v>
      </c>
      <c r="H668" s="163"/>
      <c r="I668" s="128" t="str">
        <f ca="1">IF(J667&gt;=3,(MID(I667,2,1)&amp;MID(I667,4,4)-K667),CELL("address",Z668))</f>
        <v>G669</v>
      </c>
      <c r="J668" s="128" t="str">
        <f ca="1">IF(J667&gt;=4,(MID(I668,1,1)&amp;MID(I668,2,4)+1),CELL("address",AA668))</f>
        <v>G670</v>
      </c>
      <c r="K668" s="128" t="str">
        <f ca="1">IF(J667&gt;=5,(MID(J668,1,1)&amp;MID(J668,2,4)+1),CELL("address",AB668))</f>
        <v>$AB$668</v>
      </c>
      <c r="L668" s="128" t="str">
        <f ca="1">IF(J667&gt;=6,(MID(K668,1,1)&amp;MID(K668,2,4)+1),CELL("address",AC668))</f>
        <v>$AC$668</v>
      </c>
      <c r="M668" s="128" t="str">
        <f ca="1">IF(J667&gt;=7,(MID(L668,1,1)&amp;MID(L668,2,4)+1),CELL("address",AD668))</f>
        <v>$AD$668</v>
      </c>
      <c r="N668" s="128" t="str">
        <f ca="1">IF(J667&gt;=8,(MID(M668,1,1)&amp;MID(M668,2,4)+1),CELL("address",AE668))</f>
        <v>$AE$668</v>
      </c>
      <c r="O668" s="128" t="str">
        <f ca="1">IF(J667&gt;=9,(MID(N668,1,1)&amp;MID(N668,2,4)+1),CELL("address",AF668))</f>
        <v>$AF$668</v>
      </c>
      <c r="P668" s="128" t="str">
        <f ca="1">IF(J667&gt;=10,(MID(O668,1,1)&amp;MID(O668,2,4)+1),CELL("address",AG668))</f>
        <v>$AG$668</v>
      </c>
      <c r="Q668" s="128" t="str">
        <f ca="1">IF(J667&gt;=11,(MID(P668,1,1)&amp;MID(P668,2,4)+1),CELL("address",AH668))</f>
        <v>$AH$668</v>
      </c>
      <c r="R668" s="128" t="str">
        <f ca="1">IF(J667&gt;=12,(MID(Q668,1,1)&amp;MID(Q668,2,4)+1),CELL("address",AI668))</f>
        <v>$AI$668</v>
      </c>
    </row>
    <row r="669" spans="1:8" ht="15" customHeight="1">
      <c r="A669" s="331"/>
      <c r="B669" s="332"/>
      <c r="C669" s="298"/>
      <c r="D669" s="50" t="s">
        <v>31</v>
      </c>
      <c r="E669" s="52">
        <v>0.005</v>
      </c>
      <c r="F669" s="119"/>
      <c r="G669" s="119" t="str">
        <f>CONCATENATE(D669," - ",E669,", ")</f>
        <v>Misc. Alumn. Scrap - 0.005, </v>
      </c>
      <c r="H669" s="132"/>
    </row>
    <row r="670" spans="1:8" ht="15" customHeight="1">
      <c r="A670" s="57"/>
      <c r="B670" s="60"/>
      <c r="C670" s="22"/>
      <c r="D670" s="120"/>
      <c r="E670" s="108"/>
      <c r="F670" s="119"/>
      <c r="G670" s="119"/>
      <c r="H670" s="132"/>
    </row>
    <row r="671" spans="1:8" ht="15" customHeight="1">
      <c r="A671" s="288"/>
      <c r="B671" s="289"/>
      <c r="C671" s="81"/>
      <c r="D671" s="81"/>
      <c r="E671" s="82">
        <f>SUM(E673:E673)</f>
        <v>0.011</v>
      </c>
      <c r="F671" s="119"/>
      <c r="G671" s="119"/>
      <c r="H671" s="132"/>
    </row>
    <row r="672" spans="1:18" ht="15" customHeight="1">
      <c r="A672" s="275" t="s">
        <v>5</v>
      </c>
      <c r="B672" s="275"/>
      <c r="C672" s="78" t="s">
        <v>17</v>
      </c>
      <c r="D672" s="79" t="s">
        <v>18</v>
      </c>
      <c r="E672" s="78" t="s">
        <v>7</v>
      </c>
      <c r="F672" s="119"/>
      <c r="G672" s="121" t="str">
        <f>CONCATENATE("Misc. Healthy parts/ Non Ferrous  Scrap, Lying at ",C673,". Quantity in MT - ")</f>
        <v>Misc. Healthy parts/ Non Ferrous  Scrap, Lying at CS Malout. Quantity in MT - </v>
      </c>
      <c r="H672" s="163" t="str">
        <f ca="1">CONCATENATE(G672,G673,(INDIRECT(I673)),(INDIRECT(J673)),(INDIRECT(K673)),(INDIRECT(L673)),(INDIRECT(M673)),(INDIRECT(N673)),(INDIRECT(O673)),(INDIRECT(P673)),(INDIRECT(Q673)),(INDIRECT(R673)),".")</f>
        <v>Misc. Healthy parts/ Non Ferrous  Scrap, Lying at CS Malout. Quantity in MT - Brass scrap - 0.011, .</v>
      </c>
      <c r="I672" s="128" t="str">
        <f aca="true" ca="1" t="array" ref="I672">CELL("address",INDEX(G672:G694,MATCH(TRUE,ISBLANK(G672:G694),0)))</f>
        <v>$G$674</v>
      </c>
      <c r="J672" s="128">
        <f aca="true" t="array" ref="J672">MATCH(TRUE,ISBLANK(G672:G694),0)</f>
        <v>3</v>
      </c>
      <c r="K672" s="128">
        <f>J672-3</f>
        <v>0</v>
      </c>
      <c r="L672" s="128"/>
      <c r="M672" s="128"/>
      <c r="N672" s="128"/>
      <c r="O672" s="128"/>
      <c r="P672" s="128"/>
      <c r="Q672" s="128"/>
      <c r="R672" s="128"/>
    </row>
    <row r="673" spans="1:18" ht="15" customHeight="1">
      <c r="A673" s="275" t="s">
        <v>198</v>
      </c>
      <c r="B673" s="275"/>
      <c r="C673" s="199" t="s">
        <v>96</v>
      </c>
      <c r="D673" s="50" t="s">
        <v>23</v>
      </c>
      <c r="E673" s="52">
        <v>0.011</v>
      </c>
      <c r="F673" s="119"/>
      <c r="G673" s="119" t="str">
        <f>CONCATENATE(D673," - ",E673,", ")</f>
        <v>Brass scrap - 0.011, </v>
      </c>
      <c r="H673" s="163"/>
      <c r="I673" s="128" t="str">
        <f ca="1">IF(J672&gt;=3,(MID(I672,2,1)&amp;MID(I672,4,4)-K672),CELL("address",Z673))</f>
        <v>G674</v>
      </c>
      <c r="J673" s="128" t="str">
        <f ca="1">IF(J672&gt;=4,(MID(I673,1,1)&amp;MID(I673,2,4)+1),CELL("address",AA673))</f>
        <v>$AA$673</v>
      </c>
      <c r="K673" s="128" t="str">
        <f ca="1">IF(J672&gt;=5,(MID(J673,1,1)&amp;MID(J673,2,4)+1),CELL("address",AB673))</f>
        <v>$AB$673</v>
      </c>
      <c r="L673" s="128" t="str">
        <f ca="1">IF(J672&gt;=6,(MID(K673,1,1)&amp;MID(K673,2,4)+1),CELL("address",AC673))</f>
        <v>$AC$673</v>
      </c>
      <c r="M673" s="128" t="str">
        <f ca="1">IF(J672&gt;=7,(MID(L673,1,1)&amp;MID(L673,2,4)+1),CELL("address",AD673))</f>
        <v>$AD$673</v>
      </c>
      <c r="N673" s="128" t="str">
        <f ca="1">IF(J672&gt;=8,(MID(M673,1,1)&amp;MID(M673,2,4)+1),CELL("address",AE673))</f>
        <v>$AE$673</v>
      </c>
      <c r="O673" s="128" t="str">
        <f ca="1">IF(J672&gt;=9,(MID(N673,1,1)&amp;MID(N673,2,4)+1),CELL("address",AF673))</f>
        <v>$AF$673</v>
      </c>
      <c r="P673" s="128" t="str">
        <f ca="1">IF(J672&gt;=10,(MID(O673,1,1)&amp;MID(O673,2,4)+1),CELL("address",AG673))</f>
        <v>$AG$673</v>
      </c>
      <c r="Q673" s="128" t="str">
        <f ca="1">IF(J672&gt;=11,(MID(P673,1,1)&amp;MID(P673,2,4)+1),CELL("address",AH673))</f>
        <v>$AH$673</v>
      </c>
      <c r="R673" s="128" t="str">
        <f ca="1">IF(J672&gt;=12,(MID(Q673,1,1)&amp;MID(Q673,2,4)+1),CELL("address",AI673))</f>
        <v>$AI$673</v>
      </c>
    </row>
    <row r="674" spans="1:8" ht="15" customHeight="1">
      <c r="A674" s="299"/>
      <c r="B674" s="300"/>
      <c r="C674" s="119"/>
      <c r="D674" s="119"/>
      <c r="E674" s="119"/>
      <c r="F674" s="119"/>
      <c r="G674" s="119"/>
      <c r="H674" s="132"/>
    </row>
    <row r="675" spans="1:8" ht="15" customHeight="1">
      <c r="A675" s="288"/>
      <c r="B675" s="289"/>
      <c r="C675" s="81"/>
      <c r="D675" s="81"/>
      <c r="E675" s="82">
        <f>SUM(E677:E677)</f>
        <v>1</v>
      </c>
      <c r="F675" s="119"/>
      <c r="G675" s="119"/>
      <c r="H675" s="132"/>
    </row>
    <row r="676" spans="1:18" ht="15" customHeight="1">
      <c r="A676" s="275" t="s">
        <v>5</v>
      </c>
      <c r="B676" s="275"/>
      <c r="C676" s="78" t="s">
        <v>17</v>
      </c>
      <c r="D676" s="79" t="s">
        <v>18</v>
      </c>
      <c r="E676" s="78" t="s">
        <v>7</v>
      </c>
      <c r="F676" s="119"/>
      <c r="G676" s="121" t="str">
        <f>CONCATENATE("Misc. Healthy parts/ Non Ferrous  Scrap, Lying at ",C677,". Quantity in MT - ")</f>
        <v>Misc. Healthy parts/ Non Ferrous  Scrap, Lying at TRY Bathinda. Quantity in MT - </v>
      </c>
      <c r="H676" s="163" t="str">
        <f ca="1">CONCATENATE(G676,G677,(INDIRECT(I677)),(INDIRECT(J677)),(INDIRECT(K677)),(INDIRECT(L677)),(INDIRECT(M677)),(INDIRECT(N677)),(INDIRECT(O677)),(INDIRECT(P677)),(INDIRECT(Q677)),(INDIRECT(R677)),".")</f>
        <v>Misc. Healthy parts/ Non Ferrous  Scrap, Lying at TRY Bathinda. Quantity in MT - Brass scrap - 1, .</v>
      </c>
      <c r="I676" s="128" t="str">
        <f aca="true" ca="1" t="array" ref="I676">CELL("address",INDEX(G676:G698,MATCH(TRUE,ISBLANK(G676:G698),0)))</f>
        <v>$G$678</v>
      </c>
      <c r="J676" s="128">
        <f aca="true" t="array" ref="J676">MATCH(TRUE,ISBLANK(G676:G698),0)</f>
        <v>3</v>
      </c>
      <c r="K676" s="128">
        <f>J676-3</f>
        <v>0</v>
      </c>
      <c r="L676" s="128"/>
      <c r="M676" s="128"/>
      <c r="N676" s="128"/>
      <c r="O676" s="128"/>
      <c r="P676" s="128"/>
      <c r="Q676" s="128"/>
      <c r="R676" s="128"/>
    </row>
    <row r="677" spans="1:18" ht="15" customHeight="1">
      <c r="A677" s="275" t="s">
        <v>205</v>
      </c>
      <c r="B677" s="275"/>
      <c r="C677" s="199" t="s">
        <v>36</v>
      </c>
      <c r="D677" s="45" t="s">
        <v>23</v>
      </c>
      <c r="E677" s="51">
        <v>1</v>
      </c>
      <c r="F677" s="119"/>
      <c r="G677" s="119" t="str">
        <f>CONCATENATE(D677," - ",E677,", ")</f>
        <v>Brass scrap - 1, </v>
      </c>
      <c r="H677" s="163"/>
      <c r="I677" s="128" t="str">
        <f ca="1">IF(J676&gt;=3,(MID(I676,2,1)&amp;MID(I676,4,4)-K676),CELL("address",Z677))</f>
        <v>G678</v>
      </c>
      <c r="J677" s="128" t="str">
        <f ca="1">IF(J676&gt;=4,(MID(I677,1,1)&amp;MID(I677,2,4)+1),CELL("address",AA677))</f>
        <v>$AA$677</v>
      </c>
      <c r="K677" s="128" t="str">
        <f ca="1">IF(J676&gt;=5,(MID(J677,1,1)&amp;MID(J677,2,4)+1),CELL("address",AB677))</f>
        <v>$AB$677</v>
      </c>
      <c r="L677" s="128" t="str">
        <f ca="1">IF(J676&gt;=6,(MID(K677,1,1)&amp;MID(K677,2,4)+1),CELL("address",AC677))</f>
        <v>$AC$677</v>
      </c>
      <c r="M677" s="128" t="str">
        <f ca="1">IF(J676&gt;=7,(MID(L677,1,1)&amp;MID(L677,2,4)+1),CELL("address",AD677))</f>
        <v>$AD$677</v>
      </c>
      <c r="N677" s="128" t="str">
        <f ca="1">IF(J676&gt;=8,(MID(M677,1,1)&amp;MID(M677,2,4)+1),CELL("address",AE677))</f>
        <v>$AE$677</v>
      </c>
      <c r="O677" s="128" t="str">
        <f ca="1">IF(J676&gt;=9,(MID(N677,1,1)&amp;MID(N677,2,4)+1),CELL("address",AF677))</f>
        <v>$AF$677</v>
      </c>
      <c r="P677" s="128" t="str">
        <f ca="1">IF(J676&gt;=10,(MID(O677,1,1)&amp;MID(O677,2,4)+1),CELL("address",AG677))</f>
        <v>$AG$677</v>
      </c>
      <c r="Q677" s="128" t="str">
        <f ca="1">IF(J676&gt;=11,(MID(P677,1,1)&amp;MID(P677,2,4)+1),CELL("address",AH677))</f>
        <v>$AH$677</v>
      </c>
      <c r="R677" s="128" t="str">
        <f ca="1">IF(J676&gt;=12,(MID(Q677,1,1)&amp;MID(Q677,2,4)+1),CELL("address",AI677))</f>
        <v>$AI$677</v>
      </c>
    </row>
    <row r="678" spans="1:8" ht="15" customHeight="1">
      <c r="A678" s="299"/>
      <c r="B678" s="300"/>
      <c r="C678" s="119"/>
      <c r="D678" s="119"/>
      <c r="E678" s="119"/>
      <c r="F678" s="119"/>
      <c r="G678" s="119"/>
      <c r="H678" s="132"/>
    </row>
    <row r="679" spans="1:8" ht="15" customHeight="1">
      <c r="A679" s="288"/>
      <c r="B679" s="289"/>
      <c r="C679" s="81"/>
      <c r="D679" s="81"/>
      <c r="E679" s="82">
        <f>SUM(E681:E681)</f>
        <v>1</v>
      </c>
      <c r="F679" s="119"/>
      <c r="G679" s="119"/>
      <c r="H679" s="132"/>
    </row>
    <row r="680" spans="1:18" ht="15" customHeight="1">
      <c r="A680" s="275" t="s">
        <v>5</v>
      </c>
      <c r="B680" s="275"/>
      <c r="C680" s="78" t="s">
        <v>17</v>
      </c>
      <c r="D680" s="79" t="s">
        <v>18</v>
      </c>
      <c r="E680" s="78" t="s">
        <v>7</v>
      </c>
      <c r="F680" s="119"/>
      <c r="G680" s="121" t="str">
        <f>CONCATENATE("Misc. Healthy parts/ Non Ferrous  Scrap, Lying at ",C681,". Quantity in MT - ")</f>
        <v>Misc. Healthy parts/ Non Ferrous  Scrap, Lying at TRY Bathinda. Quantity in MT - </v>
      </c>
      <c r="H680" s="163" t="str">
        <f ca="1">CONCATENATE(G680,G681,(INDIRECT(I681)),(INDIRECT(J681)),(INDIRECT(K681)),(INDIRECT(L681)),(INDIRECT(M681)),(INDIRECT(N681)),(INDIRECT(O681)),(INDIRECT(P681)),(INDIRECT(Q681)),(INDIRECT(R681)),".")</f>
        <v>Misc. Healthy parts/ Non Ferrous  Scrap, Lying at TRY Bathinda. Quantity in MT - Brass scrap - 1, .</v>
      </c>
      <c r="I680" s="128" t="str">
        <f aca="true" ca="1" t="array" ref="I680">CELL("address",INDEX(G680:G702,MATCH(TRUE,ISBLANK(G680:G702),0)))</f>
        <v>$G$682</v>
      </c>
      <c r="J680" s="128">
        <f aca="true" t="array" ref="J680">MATCH(TRUE,ISBLANK(G680:G702),0)</f>
        <v>3</v>
      </c>
      <c r="K680" s="128">
        <f>J680-3</f>
        <v>0</v>
      </c>
      <c r="L680" s="128"/>
      <c r="M680" s="128"/>
      <c r="N680" s="128"/>
      <c r="O680" s="128"/>
      <c r="P680" s="128"/>
      <c r="Q680" s="128"/>
      <c r="R680" s="128"/>
    </row>
    <row r="681" spans="1:18" ht="15" customHeight="1">
      <c r="A681" s="275" t="s">
        <v>212</v>
      </c>
      <c r="B681" s="275"/>
      <c r="C681" s="199" t="s">
        <v>36</v>
      </c>
      <c r="D681" s="45" t="s">
        <v>23</v>
      </c>
      <c r="E681" s="51">
        <v>1</v>
      </c>
      <c r="F681" s="119"/>
      <c r="G681" s="119" t="str">
        <f>CONCATENATE(D681," - ",E681,", ")</f>
        <v>Brass scrap - 1, </v>
      </c>
      <c r="H681" s="163"/>
      <c r="I681" s="128" t="str">
        <f ca="1">IF(J680&gt;=3,(MID(I680,2,1)&amp;MID(I680,4,4)-K680),CELL("address",Z681))</f>
        <v>G682</v>
      </c>
      <c r="J681" s="128" t="str">
        <f ca="1">IF(J680&gt;=4,(MID(I681,1,1)&amp;MID(I681,2,4)+1),CELL("address",AA681))</f>
        <v>$AA$681</v>
      </c>
      <c r="K681" s="128" t="str">
        <f ca="1">IF(J680&gt;=5,(MID(J681,1,1)&amp;MID(J681,2,4)+1),CELL("address",AB681))</f>
        <v>$AB$681</v>
      </c>
      <c r="L681" s="128" t="str">
        <f ca="1">IF(J680&gt;=6,(MID(K681,1,1)&amp;MID(K681,2,4)+1),CELL("address",AC681))</f>
        <v>$AC$681</v>
      </c>
      <c r="M681" s="128" t="str">
        <f ca="1">IF(J680&gt;=7,(MID(L681,1,1)&amp;MID(L681,2,4)+1),CELL("address",AD681))</f>
        <v>$AD$681</v>
      </c>
      <c r="N681" s="128" t="str">
        <f ca="1">IF(J680&gt;=8,(MID(M681,1,1)&amp;MID(M681,2,4)+1),CELL("address",AE681))</f>
        <v>$AE$681</v>
      </c>
      <c r="O681" s="128" t="str">
        <f ca="1">IF(J680&gt;=9,(MID(N681,1,1)&amp;MID(N681,2,4)+1),CELL("address",AF681))</f>
        <v>$AF$681</v>
      </c>
      <c r="P681" s="128" t="str">
        <f ca="1">IF(J680&gt;=10,(MID(O681,1,1)&amp;MID(O681,2,4)+1),CELL("address",AG681))</f>
        <v>$AG$681</v>
      </c>
      <c r="Q681" s="128" t="str">
        <f ca="1">IF(J680&gt;=11,(MID(P681,1,1)&amp;MID(P681,2,4)+1),CELL("address",AH681))</f>
        <v>$AH$681</v>
      </c>
      <c r="R681" s="128" t="str">
        <f ca="1">IF(J680&gt;=12,(MID(Q681,1,1)&amp;MID(Q681,2,4)+1),CELL("address",AI681))</f>
        <v>$AI$681</v>
      </c>
    </row>
    <row r="682" spans="1:8" ht="15" customHeight="1">
      <c r="A682" s="299"/>
      <c r="B682" s="300"/>
      <c r="C682" s="119"/>
      <c r="D682" s="119"/>
      <c r="E682" s="119"/>
      <c r="F682" s="119"/>
      <c r="G682" s="119"/>
      <c r="H682" s="132"/>
    </row>
    <row r="683" spans="1:8" ht="15" customHeight="1">
      <c r="A683" s="288"/>
      <c r="B683" s="289"/>
      <c r="C683" s="81"/>
      <c r="D683" s="81"/>
      <c r="E683" s="82">
        <f>SUM(E685:E685)</f>
        <v>1</v>
      </c>
      <c r="F683" s="119"/>
      <c r="G683" s="119"/>
      <c r="H683" s="132"/>
    </row>
    <row r="684" spans="1:18" ht="15" customHeight="1">
      <c r="A684" s="275" t="s">
        <v>5</v>
      </c>
      <c r="B684" s="275"/>
      <c r="C684" s="78" t="s">
        <v>17</v>
      </c>
      <c r="D684" s="79" t="s">
        <v>18</v>
      </c>
      <c r="E684" s="78" t="s">
        <v>7</v>
      </c>
      <c r="F684" s="119"/>
      <c r="G684" s="121" t="str">
        <f>CONCATENATE("Misc. Healthy parts/ Non Ferrous  Scrap, Lying at ",C685,". Quantity in MT - ")</f>
        <v>Misc. Healthy parts/ Non Ferrous  Scrap, Lying at TRY Bathinda. Quantity in MT - </v>
      </c>
      <c r="H684" s="163" t="str">
        <f ca="1">CONCATENATE(G684,G685,(INDIRECT(I685)),(INDIRECT(J685)),(INDIRECT(K685)),(INDIRECT(L685)),(INDIRECT(M685)),(INDIRECT(N685)),(INDIRECT(O685)),(INDIRECT(P685)),(INDIRECT(Q685)),(INDIRECT(R685)),".")</f>
        <v>Misc. Healthy parts/ Non Ferrous  Scrap, Lying at TRY Bathinda. Quantity in MT - Brass scrap - 1, .</v>
      </c>
      <c r="I684" s="128" t="str">
        <f aca="true" ca="1" t="array" ref="I684">CELL("address",INDEX(G684:G706,MATCH(TRUE,ISBLANK(G684:G706),0)))</f>
        <v>$G$686</v>
      </c>
      <c r="J684" s="128">
        <f aca="true" t="array" ref="J684">MATCH(TRUE,ISBLANK(G684:G706),0)</f>
        <v>3</v>
      </c>
      <c r="K684" s="128">
        <f>J684-3</f>
        <v>0</v>
      </c>
      <c r="L684" s="128"/>
      <c r="M684" s="128"/>
      <c r="N684" s="128"/>
      <c r="O684" s="128"/>
      <c r="P684" s="128"/>
      <c r="Q684" s="128"/>
      <c r="R684" s="128"/>
    </row>
    <row r="685" spans="1:18" ht="15" customHeight="1">
      <c r="A685" s="275" t="s">
        <v>238</v>
      </c>
      <c r="B685" s="275"/>
      <c r="C685" s="199" t="s">
        <v>36</v>
      </c>
      <c r="D685" s="45" t="s">
        <v>23</v>
      </c>
      <c r="E685" s="51">
        <v>1</v>
      </c>
      <c r="F685" s="119"/>
      <c r="G685" s="119" t="str">
        <f>CONCATENATE(D685," - ",E685,", ")</f>
        <v>Brass scrap - 1, </v>
      </c>
      <c r="H685" s="163"/>
      <c r="I685" s="128" t="str">
        <f ca="1">IF(J684&gt;=3,(MID(I684,2,1)&amp;MID(I684,4,4)-K684),CELL("address",Z685))</f>
        <v>G686</v>
      </c>
      <c r="J685" s="128" t="str">
        <f ca="1">IF(J684&gt;=4,(MID(I685,1,1)&amp;MID(I685,2,4)+1),CELL("address",AA685))</f>
        <v>$AA$685</v>
      </c>
      <c r="K685" s="128" t="str">
        <f ca="1">IF(J684&gt;=5,(MID(J685,1,1)&amp;MID(J685,2,4)+1),CELL("address",AB685))</f>
        <v>$AB$685</v>
      </c>
      <c r="L685" s="128" t="str">
        <f ca="1">IF(J684&gt;=6,(MID(K685,1,1)&amp;MID(K685,2,4)+1),CELL("address",AC685))</f>
        <v>$AC$685</v>
      </c>
      <c r="M685" s="128" t="str">
        <f ca="1">IF(J684&gt;=7,(MID(L685,1,1)&amp;MID(L685,2,4)+1),CELL("address",AD685))</f>
        <v>$AD$685</v>
      </c>
      <c r="N685" s="128" t="str">
        <f ca="1">IF(J684&gt;=8,(MID(M685,1,1)&amp;MID(M685,2,4)+1),CELL("address",AE685))</f>
        <v>$AE$685</v>
      </c>
      <c r="O685" s="128" t="str">
        <f ca="1">IF(J684&gt;=9,(MID(N685,1,1)&amp;MID(N685,2,4)+1),CELL("address",AF685))</f>
        <v>$AF$685</v>
      </c>
      <c r="P685" s="128" t="str">
        <f ca="1">IF(J684&gt;=10,(MID(O685,1,1)&amp;MID(O685,2,4)+1),CELL("address",AG685))</f>
        <v>$AG$685</v>
      </c>
      <c r="Q685" s="128" t="str">
        <f ca="1">IF(J684&gt;=11,(MID(P685,1,1)&amp;MID(P685,2,4)+1),CELL("address",AH685))</f>
        <v>$AH$685</v>
      </c>
      <c r="R685" s="128" t="str">
        <f ca="1">IF(J684&gt;=12,(MID(Q685,1,1)&amp;MID(Q685,2,4)+1),CELL("address",AI685))</f>
        <v>$AI$685</v>
      </c>
    </row>
    <row r="686" spans="1:8" ht="15" customHeight="1">
      <c r="A686" s="299"/>
      <c r="B686" s="300"/>
      <c r="C686" s="119"/>
      <c r="D686" s="119"/>
      <c r="E686" s="119"/>
      <c r="F686" s="119"/>
      <c r="G686" s="119"/>
      <c r="H686" s="132"/>
    </row>
    <row r="687" spans="1:8" ht="15" customHeight="1">
      <c r="A687" s="288"/>
      <c r="B687" s="289"/>
      <c r="C687" s="81"/>
      <c r="D687" s="81"/>
      <c r="E687" s="82">
        <f>SUM(E689:E689)</f>
        <v>1</v>
      </c>
      <c r="F687" s="366"/>
      <c r="G687" s="366"/>
      <c r="H687" s="132"/>
    </row>
    <row r="688" spans="1:18" ht="15" customHeight="1">
      <c r="A688" s="275" t="s">
        <v>5</v>
      </c>
      <c r="B688" s="275"/>
      <c r="C688" s="78" t="s">
        <v>17</v>
      </c>
      <c r="D688" s="79" t="s">
        <v>18</v>
      </c>
      <c r="E688" s="78" t="s">
        <v>7</v>
      </c>
      <c r="F688" s="119"/>
      <c r="G688" s="121" t="str">
        <f>CONCATENATE("Misc. Healthy parts/ Non Ferrous  Scrap, Lying at ",C689,". Quantity in MT - ")</f>
        <v>Misc. Healthy parts/ Non Ferrous  Scrap, Lying at TRY Bathinda. Quantity in MT - </v>
      </c>
      <c r="H688" s="163" t="str">
        <f ca="1">CONCATENATE(G688,G689,(INDIRECT(I689)),(INDIRECT(J689)),(INDIRECT(K689)),(INDIRECT(L689)),(INDIRECT(M689)),(INDIRECT(N689)),(INDIRECT(O689)),(INDIRECT(P689)),(INDIRECT(Q689)),(INDIRECT(R689)),".")</f>
        <v>Misc. Healthy parts/ Non Ferrous  Scrap, Lying at TRY Bathinda. Quantity in MT - Brass scrap - 1, .</v>
      </c>
      <c r="I688" s="128" t="str">
        <f aca="true" ca="1" t="array" ref="I688">CELL("address",INDEX(G688:G710,MATCH(TRUE,ISBLANK(G688:G710),0)))</f>
        <v>$G$690</v>
      </c>
      <c r="J688" s="128">
        <f aca="true" t="array" ref="J688">MATCH(TRUE,ISBLANK(G688:G710),0)</f>
        <v>3</v>
      </c>
      <c r="K688" s="128">
        <f>J688-3</f>
        <v>0</v>
      </c>
      <c r="L688" s="128"/>
      <c r="M688" s="128"/>
      <c r="N688" s="128"/>
      <c r="O688" s="128"/>
      <c r="P688" s="128"/>
      <c r="Q688" s="128"/>
      <c r="R688" s="128"/>
    </row>
    <row r="689" spans="1:18" ht="15" customHeight="1">
      <c r="A689" s="275" t="s">
        <v>196</v>
      </c>
      <c r="B689" s="275"/>
      <c r="C689" s="199" t="s">
        <v>36</v>
      </c>
      <c r="D689" s="45" t="s">
        <v>23</v>
      </c>
      <c r="E689" s="51">
        <v>1</v>
      </c>
      <c r="F689" s="119"/>
      <c r="G689" s="119" t="str">
        <f>CONCATENATE(D689," - ",E689,", ")</f>
        <v>Brass scrap - 1, </v>
      </c>
      <c r="H689" s="163"/>
      <c r="I689" s="128" t="str">
        <f ca="1">IF(J688&gt;=3,(MID(I688,2,1)&amp;MID(I688,4,4)-K688),CELL("address",Z689))</f>
        <v>G690</v>
      </c>
      <c r="J689" s="128" t="str">
        <f ca="1">IF(J688&gt;=4,(MID(I689,1,1)&amp;MID(I689,2,4)+1),CELL("address",AA689))</f>
        <v>$AA$689</v>
      </c>
      <c r="K689" s="128" t="str">
        <f ca="1">IF(J688&gt;=5,(MID(J689,1,1)&amp;MID(J689,2,4)+1),CELL("address",AB689))</f>
        <v>$AB$689</v>
      </c>
      <c r="L689" s="128" t="str">
        <f ca="1">IF(J688&gt;=6,(MID(K689,1,1)&amp;MID(K689,2,4)+1),CELL("address",AC689))</f>
        <v>$AC$689</v>
      </c>
      <c r="M689" s="128" t="str">
        <f ca="1">IF(J688&gt;=7,(MID(L689,1,1)&amp;MID(L689,2,4)+1),CELL("address",AD689))</f>
        <v>$AD$689</v>
      </c>
      <c r="N689" s="128" t="str">
        <f ca="1">IF(J688&gt;=8,(MID(M689,1,1)&amp;MID(M689,2,4)+1),CELL("address",AE689))</f>
        <v>$AE$689</v>
      </c>
      <c r="O689" s="128" t="str">
        <f ca="1">IF(J688&gt;=9,(MID(N689,1,1)&amp;MID(N689,2,4)+1),CELL("address",AF689))</f>
        <v>$AF$689</v>
      </c>
      <c r="P689" s="128" t="str">
        <f ca="1">IF(J688&gt;=10,(MID(O689,1,1)&amp;MID(O689,2,4)+1),CELL("address",AG689))</f>
        <v>$AG$689</v>
      </c>
      <c r="Q689" s="128" t="str">
        <f ca="1">IF(J688&gt;=11,(MID(P689,1,1)&amp;MID(P689,2,4)+1),CELL("address",AH689))</f>
        <v>$AH$689</v>
      </c>
      <c r="R689" s="128" t="str">
        <f ca="1">IF(J688&gt;=12,(MID(Q689,1,1)&amp;MID(Q689,2,4)+1),CELL("address",AI689))</f>
        <v>$AI$689</v>
      </c>
    </row>
    <row r="690" spans="1:8" ht="15" customHeight="1">
      <c r="A690" s="57"/>
      <c r="B690" s="60"/>
      <c r="C690" s="22"/>
      <c r="D690" s="60"/>
      <c r="E690" s="126"/>
      <c r="F690" s="119"/>
      <c r="G690" s="119"/>
      <c r="H690" s="133"/>
    </row>
    <row r="691" spans="1:8" ht="15" customHeight="1">
      <c r="A691" s="288"/>
      <c r="B691" s="289"/>
      <c r="C691" s="81"/>
      <c r="D691" s="81"/>
      <c r="E691" s="82">
        <f>SUM(E693:E695)</f>
        <v>2.129</v>
      </c>
      <c r="F691" s="119"/>
      <c r="G691" s="119"/>
      <c r="H691" s="133"/>
    </row>
    <row r="692" spans="1:18" ht="15" customHeight="1">
      <c r="A692" s="275" t="s">
        <v>5</v>
      </c>
      <c r="B692" s="275"/>
      <c r="C692" s="78" t="s">
        <v>17</v>
      </c>
      <c r="D692" s="79" t="s">
        <v>18</v>
      </c>
      <c r="E692" s="78" t="s">
        <v>7</v>
      </c>
      <c r="F692" s="119"/>
      <c r="G692" s="121" t="str">
        <f>CONCATENATE("Misc. Healthy parts/ Non Ferrous  Scrap, Lying at ",C693,". Quantity in MT - ")</f>
        <v>Misc. Healthy parts/ Non Ferrous  Scrap, Lying at TRY Kotkapura. Quantity in MT - </v>
      </c>
      <c r="H692" s="163" t="str">
        <f ca="1">CONCATENATE(G692,G693,(INDIRECT(I693)),(INDIRECT(J693)),(INDIRECT(K693)),(INDIRECT(L693)),(INDIRECT(M693)),(INDIRECT(N693)),(INDIRECT(O693)),(INDIRECT(P693)),(INDIRECT(Q693)),(INDIRECT(R693)),".")</f>
        <v>Misc. Healthy parts/ Non Ferrous  Scrap, Lying at TRY Kotkapura. Quantity in MT - Brass scrap - 1.754, Misc. Alumn. Scrap - 0.269, Iron scrap - 0.106, .</v>
      </c>
      <c r="I692" s="128" t="str">
        <f aca="true" ca="1" t="array" ref="I692">CELL("address",INDEX(G692:G714,MATCH(TRUE,ISBLANK(G692:G714),0)))</f>
        <v>$G$696</v>
      </c>
      <c r="J692" s="128">
        <f aca="true" t="array" ref="J692">MATCH(TRUE,ISBLANK(G692:G714),0)</f>
        <v>5</v>
      </c>
      <c r="K692" s="128">
        <f>J692-3</f>
        <v>2</v>
      </c>
      <c r="L692" s="128"/>
      <c r="M692" s="128"/>
      <c r="N692" s="128"/>
      <c r="O692" s="128"/>
      <c r="P692" s="128"/>
      <c r="Q692" s="128"/>
      <c r="R692" s="128"/>
    </row>
    <row r="693" spans="1:18" ht="15" customHeight="1">
      <c r="A693" s="275" t="s">
        <v>197</v>
      </c>
      <c r="B693" s="275"/>
      <c r="C693" s="274" t="s">
        <v>252</v>
      </c>
      <c r="D693" s="50" t="s">
        <v>23</v>
      </c>
      <c r="E693" s="52">
        <v>1.754</v>
      </c>
      <c r="F693" s="119"/>
      <c r="G693" s="119" t="str">
        <f>CONCATENATE(D693," - ",E693,", ")</f>
        <v>Brass scrap - 1.754, </v>
      </c>
      <c r="H693" s="163"/>
      <c r="I693" s="128" t="str">
        <f ca="1">IF(J692&gt;=3,(MID(I692,2,1)&amp;MID(I692,4,4)-K692),CELL("address",Z693))</f>
        <v>G694</v>
      </c>
      <c r="J693" s="128" t="str">
        <f ca="1">IF(J692&gt;=4,(MID(I693,1,1)&amp;MID(I693,2,4)+1),CELL("address",AA693))</f>
        <v>G695</v>
      </c>
      <c r="K693" s="128" t="str">
        <f ca="1">IF(J692&gt;=5,(MID(J693,1,1)&amp;MID(J693,2,4)+1),CELL("address",AB693))</f>
        <v>G696</v>
      </c>
      <c r="L693" s="128" t="str">
        <f ca="1">IF(J692&gt;=6,(MID(K693,1,1)&amp;MID(K693,2,4)+1),CELL("address",AC693))</f>
        <v>$AC$693</v>
      </c>
      <c r="M693" s="128" t="str">
        <f ca="1">IF(J692&gt;=7,(MID(L693,1,1)&amp;MID(L693,2,4)+1),CELL("address",AD693))</f>
        <v>$AD$693</v>
      </c>
      <c r="N693" s="128" t="str">
        <f ca="1">IF(J692&gt;=8,(MID(M693,1,1)&amp;MID(M693,2,4)+1),CELL("address",AE693))</f>
        <v>$AE$693</v>
      </c>
      <c r="O693" s="128" t="str">
        <f ca="1">IF(J692&gt;=9,(MID(N693,1,1)&amp;MID(N693,2,4)+1),CELL("address",AF693))</f>
        <v>$AF$693</v>
      </c>
      <c r="P693" s="128" t="str">
        <f ca="1">IF(J692&gt;=10,(MID(O693,1,1)&amp;MID(O693,2,4)+1),CELL("address",AG693))</f>
        <v>$AG$693</v>
      </c>
      <c r="Q693" s="128" t="str">
        <f ca="1">IF(J692&gt;=11,(MID(P693,1,1)&amp;MID(P693,2,4)+1),CELL("address",AH693))</f>
        <v>$AH$693</v>
      </c>
      <c r="R693" s="128" t="str">
        <f ca="1">IF(J692&gt;=12,(MID(Q693,1,1)&amp;MID(Q693,2,4)+1),CELL("address",AI693))</f>
        <v>$AI$693</v>
      </c>
    </row>
    <row r="694" spans="1:8" ht="15" customHeight="1">
      <c r="A694" s="275"/>
      <c r="B694" s="275"/>
      <c r="C694" s="274"/>
      <c r="D694" s="50" t="s">
        <v>31</v>
      </c>
      <c r="E694" s="78">
        <v>0.269</v>
      </c>
      <c r="F694" s="119"/>
      <c r="G694" s="119" t="str">
        <f>CONCATENATE(D694," - ",E694,", ")</f>
        <v>Misc. Alumn. Scrap - 0.269, </v>
      </c>
      <c r="H694" s="133"/>
    </row>
    <row r="695" spans="1:8" ht="15" customHeight="1">
      <c r="A695" s="275"/>
      <c r="B695" s="275"/>
      <c r="C695" s="274"/>
      <c r="D695" s="45" t="s">
        <v>27</v>
      </c>
      <c r="E695" s="78">
        <v>0.106</v>
      </c>
      <c r="F695" s="119"/>
      <c r="G695" s="135" t="str">
        <f>CONCATENATE(D695," - ",E695,", ")</f>
        <v>Iron scrap - 0.106, </v>
      </c>
      <c r="H695" s="132"/>
    </row>
    <row r="696" spans="1:8" ht="15" customHeight="1">
      <c r="A696" s="283"/>
      <c r="B696" s="290"/>
      <c r="C696" s="199"/>
      <c r="D696" s="203"/>
      <c r="E696" s="140"/>
      <c r="F696" s="119"/>
      <c r="G696" s="119"/>
      <c r="H696" s="132"/>
    </row>
    <row r="697" spans="1:8" ht="15" customHeight="1">
      <c r="A697" s="288"/>
      <c r="B697" s="289"/>
      <c r="C697" s="81"/>
      <c r="D697" s="81"/>
      <c r="E697" s="82">
        <f>SUM(E699:E702)</f>
        <v>1.557</v>
      </c>
      <c r="F697" s="119"/>
      <c r="G697" s="119"/>
      <c r="H697" s="132"/>
    </row>
    <row r="698" spans="1:18" ht="15" customHeight="1">
      <c r="A698" s="283" t="s">
        <v>5</v>
      </c>
      <c r="B698" s="290"/>
      <c r="C698" s="78" t="s">
        <v>17</v>
      </c>
      <c r="D698" s="79" t="s">
        <v>18</v>
      </c>
      <c r="E698" s="78" t="s">
        <v>7</v>
      </c>
      <c r="F698" s="119"/>
      <c r="G698" s="121" t="str">
        <f>CONCATENATE("Misc. Healthy parts/ Non Ferrous  Scrap, Lying at ",C699,". Quantity in MT - ")</f>
        <v>Misc. Healthy parts/ Non Ferrous  Scrap, Lying at TRY Mansa. Quantity in MT - </v>
      </c>
      <c r="H698" s="163" t="str">
        <f ca="1">CONCATENATE(G698,G699,(INDIRECT(I699)),(INDIRECT(J699)),(INDIRECT(K699)),(INDIRECT(L699)),(INDIRECT(M699)),(INDIRECT(N699)),(INDIRECT(O699)),(INDIRECT(P699)),(INDIRECT(Q699)),(INDIRECT(R699)),".")</f>
        <v>Misc. Healthy parts/ Non Ferrous  Scrap, Lying at TRY Mansa. Quantity in MT - Brass scrap - 1.302, Misc. Aluminium scrap - 0.147, Burnt Cu scrap - 0.027,  Iron scrap - 0.081, .</v>
      </c>
      <c r="I698" s="128" t="str">
        <f aca="true" ca="1" t="array" ref="I698">CELL("address",INDEX(G698:G720,MATCH(TRUE,ISBLANK(G698:G720),0)))</f>
        <v>$G$703</v>
      </c>
      <c r="J698" s="128">
        <f aca="true" t="array" ref="J698">MATCH(TRUE,ISBLANK(G698:G720),0)</f>
        <v>6</v>
      </c>
      <c r="K698" s="128">
        <f>J698-3</f>
        <v>3</v>
      </c>
      <c r="L698" s="128"/>
      <c r="M698" s="128"/>
      <c r="N698" s="128"/>
      <c r="O698" s="128"/>
      <c r="P698" s="128"/>
      <c r="Q698" s="128"/>
      <c r="R698" s="128"/>
    </row>
    <row r="699" spans="1:18" ht="15" customHeight="1">
      <c r="A699" s="275" t="s">
        <v>239</v>
      </c>
      <c r="B699" s="275"/>
      <c r="C699" s="274" t="s">
        <v>168</v>
      </c>
      <c r="D699" s="45" t="s">
        <v>23</v>
      </c>
      <c r="E699" s="51">
        <v>1.302</v>
      </c>
      <c r="F699" s="119"/>
      <c r="G699" s="119" t="str">
        <f>CONCATENATE(D699," - ",E699,", ")</f>
        <v>Brass scrap - 1.302, </v>
      </c>
      <c r="H699" s="163"/>
      <c r="I699" s="128" t="str">
        <f ca="1">IF(J698&gt;=3,(MID(I698,2,1)&amp;MID(I698,4,4)-K698),CELL("address",Z699))</f>
        <v>G700</v>
      </c>
      <c r="J699" s="128" t="str">
        <f ca="1">IF(J698&gt;=4,(MID(I699,1,1)&amp;MID(I699,2,4)+1),CELL("address",AA699))</f>
        <v>G701</v>
      </c>
      <c r="K699" s="128" t="str">
        <f ca="1">IF(J698&gt;=5,(MID(J699,1,1)&amp;MID(J699,2,4)+1),CELL("address",AB699))</f>
        <v>G702</v>
      </c>
      <c r="L699" s="128" t="str">
        <f ca="1">IF(J698&gt;=6,(MID(K699,1,1)&amp;MID(K699,2,4)+1),CELL("address",AC699))</f>
        <v>G703</v>
      </c>
      <c r="M699" s="128" t="str">
        <f ca="1">IF(J698&gt;=7,(MID(L699,1,1)&amp;MID(L699,2,4)+1),CELL("address",AD699))</f>
        <v>$AD$699</v>
      </c>
      <c r="N699" s="128" t="str">
        <f ca="1">IF(J698&gt;=8,(MID(M699,1,1)&amp;MID(M699,2,4)+1),CELL("address",AE699))</f>
        <v>$AE$699</v>
      </c>
      <c r="O699" s="128" t="str">
        <f ca="1">IF(J698&gt;=9,(MID(N699,1,1)&amp;MID(N699,2,4)+1),CELL("address",AF699))</f>
        <v>$AF$699</v>
      </c>
      <c r="P699" s="128" t="str">
        <f ca="1">IF(J698&gt;=10,(MID(O699,1,1)&amp;MID(O699,2,4)+1),CELL("address",AG699))</f>
        <v>$AG$699</v>
      </c>
      <c r="Q699" s="128" t="str">
        <f ca="1">IF(J698&gt;=11,(MID(P699,1,1)&amp;MID(P699,2,4)+1),CELL("address",AH699))</f>
        <v>$AH$699</v>
      </c>
      <c r="R699" s="128" t="str">
        <f ca="1">IF(J698&gt;=12,(MID(Q699,1,1)&amp;MID(Q699,2,4)+1),CELL("address",AI699))</f>
        <v>$AI$699</v>
      </c>
    </row>
    <row r="700" spans="1:8" ht="15" customHeight="1">
      <c r="A700" s="275"/>
      <c r="B700" s="275"/>
      <c r="C700" s="274"/>
      <c r="D700" s="45" t="s">
        <v>24</v>
      </c>
      <c r="E700" s="51">
        <v>0.147</v>
      </c>
      <c r="F700" s="119"/>
      <c r="G700" s="119" t="str">
        <f>CONCATENATE(D700," - ",E700,", ")</f>
        <v>Misc. Aluminium scrap - 0.147, </v>
      </c>
      <c r="H700" s="132"/>
    </row>
    <row r="701" spans="1:8" ht="15" customHeight="1">
      <c r="A701" s="275"/>
      <c r="B701" s="275"/>
      <c r="C701" s="274"/>
      <c r="D701" s="45" t="s">
        <v>37</v>
      </c>
      <c r="E701" s="51">
        <v>0.027</v>
      </c>
      <c r="F701" s="119"/>
      <c r="G701" s="119" t="str">
        <f>CONCATENATE(D701," - ",E701,", ")</f>
        <v>Burnt Cu scrap - 0.027, </v>
      </c>
      <c r="H701" s="132"/>
    </row>
    <row r="702" spans="1:8" ht="15" customHeight="1">
      <c r="A702" s="275"/>
      <c r="B702" s="275"/>
      <c r="C702" s="274"/>
      <c r="D702" s="50" t="s">
        <v>76</v>
      </c>
      <c r="E702" s="51">
        <v>0.081</v>
      </c>
      <c r="F702" s="119"/>
      <c r="G702" s="119" t="str">
        <f>CONCATENATE(D702," - ",E702,", ")</f>
        <v> Iron scrap - 0.081, </v>
      </c>
      <c r="H702" s="134"/>
    </row>
    <row r="703" spans="1:8" ht="15" customHeight="1">
      <c r="A703" s="40"/>
      <c r="B703" s="1"/>
      <c r="C703" s="1"/>
      <c r="D703" s="1"/>
      <c r="E703" s="1"/>
      <c r="F703" s="119"/>
      <c r="G703" s="119"/>
      <c r="H703" s="132"/>
    </row>
    <row r="704" spans="1:8" ht="15" customHeight="1">
      <c r="A704" s="288"/>
      <c r="B704" s="289"/>
      <c r="C704" s="81"/>
      <c r="D704" s="81"/>
      <c r="E704" s="82">
        <f>SUM(E706:E710)</f>
        <v>2.086</v>
      </c>
      <c r="F704" s="119"/>
      <c r="G704" s="119"/>
      <c r="H704" s="132"/>
    </row>
    <row r="705" spans="1:18" ht="15" customHeight="1">
      <c r="A705" s="283" t="s">
        <v>5</v>
      </c>
      <c r="B705" s="290"/>
      <c r="C705" s="78" t="s">
        <v>17</v>
      </c>
      <c r="D705" s="79" t="s">
        <v>18</v>
      </c>
      <c r="E705" s="78" t="s">
        <v>7</v>
      </c>
      <c r="F705" s="119"/>
      <c r="G705" s="121" t="str">
        <f>CONCATENATE("Misc. Healthy parts/ Non Ferrous  Scrap, Lying at ",C706,". Quantity in MT - ")</f>
        <v>Misc. Healthy parts/ Non Ferrous  Scrap, Lying at TRY Bhagta Bhai Ka. Quantity in MT - </v>
      </c>
      <c r="H705" s="364" t="str">
        <f ca="1">CONCATENATE(G705,G706,(INDIRECT(I706)),(INDIRECT(J706)),(INDIRECT(K706)),(INDIRECT(L706)),(INDIRECT(M706)),(INDIRECT(N706)),(INDIRECT(O706)),(INDIRECT(P706)),(INDIRECT(Q706)),(INDIRECT(R706)),".")</f>
        <v>Misc. Healthy parts/ Non Ferrous  Scrap, Lying at TRY Bhagta Bhai Ka. Quantity in MT - Brass scrap - 1.22, Misc. Aluminium scrap - 0.151, Burnt Cu scrap - 0.037,  Iron scrap - 0.088, Nuts &amp; Bolts scrap - 0.59, .</v>
      </c>
      <c r="I705" s="128" t="str">
        <f aca="true" ca="1" t="array" ref="I705">CELL("address",INDEX(G705:G723,MATCH(TRUE,ISBLANK(G705:G723),0)))</f>
        <v>$G$711</v>
      </c>
      <c r="J705" s="128">
        <f aca="true" t="array" ref="J705">MATCH(TRUE,ISBLANK(G705:G723),0)</f>
        <v>7</v>
      </c>
      <c r="K705" s="128">
        <f>J705-3</f>
        <v>4</v>
      </c>
      <c r="L705" s="128"/>
      <c r="M705" s="128"/>
      <c r="N705" s="128"/>
      <c r="O705" s="128"/>
      <c r="P705" s="128"/>
      <c r="Q705" s="128"/>
      <c r="R705" s="128"/>
    </row>
    <row r="706" spans="1:18" ht="15" customHeight="1">
      <c r="A706" s="304" t="s">
        <v>254</v>
      </c>
      <c r="B706" s="305"/>
      <c r="C706" s="296" t="s">
        <v>134</v>
      </c>
      <c r="D706" s="45" t="s">
        <v>23</v>
      </c>
      <c r="E706" s="51">
        <v>1.22</v>
      </c>
      <c r="F706" s="119"/>
      <c r="G706" s="119" t="str">
        <f>CONCATENATE(D706," - ",E706,", ")</f>
        <v>Brass scrap - 1.22, </v>
      </c>
      <c r="H706" s="365"/>
      <c r="I706" s="128" t="str">
        <f ca="1">IF(J705&gt;=3,(MID(I705,2,1)&amp;MID(I705,4,4)-K705),CELL("address",Z706))</f>
        <v>G707</v>
      </c>
      <c r="J706" s="128" t="str">
        <f ca="1">IF(J705&gt;=4,(MID(I706,1,1)&amp;MID(I706,2,4)+1),CELL("address",AA706))</f>
        <v>G708</v>
      </c>
      <c r="K706" s="128" t="str">
        <f ca="1">IF(J705&gt;=5,(MID(J706,1,1)&amp;MID(J706,2,4)+1),CELL("address",AB706))</f>
        <v>G709</v>
      </c>
      <c r="L706" s="128" t="str">
        <f ca="1">IF(J705&gt;=6,(MID(K706,1,1)&amp;MID(K706,2,4)+1),CELL("address",AC706))</f>
        <v>G710</v>
      </c>
      <c r="M706" s="128" t="str">
        <f ca="1">IF(J705&gt;=7,(MID(L706,1,1)&amp;MID(L706,2,4)+1),CELL("address",AD706))</f>
        <v>G711</v>
      </c>
      <c r="N706" s="128" t="str">
        <f ca="1">IF(J705&gt;=8,(MID(M706,1,1)&amp;MID(M706,2,4)+1),CELL("address",AE706))</f>
        <v>$AE$706</v>
      </c>
      <c r="O706" s="128" t="str">
        <f ca="1">IF(J705&gt;=9,(MID(N706,1,1)&amp;MID(N706,2,4)+1),CELL("address",AF706))</f>
        <v>$AF$706</v>
      </c>
      <c r="P706" s="128" t="str">
        <f ca="1">IF(J705&gt;=10,(MID(O706,1,1)&amp;MID(O706,2,4)+1),CELL("address",AG706))</f>
        <v>$AG$706</v>
      </c>
      <c r="Q706" s="128" t="str">
        <f ca="1">IF(J705&gt;=11,(MID(P706,1,1)&amp;MID(P706,2,4)+1),CELL("address",AH706))</f>
        <v>$AH$706</v>
      </c>
      <c r="R706" s="128" t="str">
        <f ca="1">IF(J705&gt;=12,(MID(Q706,1,1)&amp;MID(Q706,2,4)+1),CELL("address",AI706))</f>
        <v>$AI$706</v>
      </c>
    </row>
    <row r="707" spans="1:8" ht="15" customHeight="1">
      <c r="A707" s="317"/>
      <c r="B707" s="318"/>
      <c r="C707" s="297"/>
      <c r="D707" s="45" t="s">
        <v>24</v>
      </c>
      <c r="E707" s="51">
        <v>0.151</v>
      </c>
      <c r="F707" s="119"/>
      <c r="G707" s="119" t="str">
        <f>CONCATENATE(D707," - ",E707,", ")</f>
        <v>Misc. Aluminium scrap - 0.151, </v>
      </c>
      <c r="H707" s="132"/>
    </row>
    <row r="708" spans="1:8" ht="15" customHeight="1">
      <c r="A708" s="317"/>
      <c r="B708" s="318"/>
      <c r="C708" s="297"/>
      <c r="D708" s="45" t="s">
        <v>37</v>
      </c>
      <c r="E708" s="51">
        <v>0.037</v>
      </c>
      <c r="F708" s="119"/>
      <c r="G708" s="119" t="str">
        <f>CONCATENATE(D708," - ",E708,", ")</f>
        <v>Burnt Cu scrap - 0.037, </v>
      </c>
      <c r="H708" s="132"/>
    </row>
    <row r="709" spans="1:8" ht="15" customHeight="1">
      <c r="A709" s="317"/>
      <c r="B709" s="318"/>
      <c r="C709" s="297"/>
      <c r="D709" s="50" t="s">
        <v>76</v>
      </c>
      <c r="E709" s="51">
        <v>0.088</v>
      </c>
      <c r="F709" s="119"/>
      <c r="G709" s="119" t="str">
        <f>CONCATENATE(D709," - ",E709,", ")</f>
        <v> Iron scrap - 0.088, </v>
      </c>
      <c r="H709" s="132"/>
    </row>
    <row r="710" spans="1:8" ht="15" customHeight="1">
      <c r="A710" s="331"/>
      <c r="B710" s="332"/>
      <c r="C710" s="298"/>
      <c r="D710" s="45" t="s">
        <v>59</v>
      </c>
      <c r="E710" s="51">
        <v>0.59</v>
      </c>
      <c r="F710" s="119"/>
      <c r="G710" s="119" t="str">
        <f>CONCATENATE(D710," - ",E710,", ")</f>
        <v>Nuts &amp; Bolts scrap - 0.59, </v>
      </c>
      <c r="H710" s="132"/>
    </row>
    <row r="711" spans="1:8" ht="15" customHeight="1">
      <c r="A711" s="57"/>
      <c r="B711" s="60"/>
      <c r="C711" s="22"/>
      <c r="D711" s="60"/>
      <c r="E711" s="126"/>
      <c r="F711" s="119"/>
      <c r="G711" s="123"/>
      <c r="H711" s="132"/>
    </row>
    <row r="712" spans="1:8" ht="15" customHeight="1">
      <c r="A712" s="288"/>
      <c r="B712" s="289"/>
      <c r="C712" s="81"/>
      <c r="D712" s="81"/>
      <c r="E712" s="160">
        <f>SUM(E714:E714)</f>
        <v>0.021</v>
      </c>
      <c r="F712" s="119"/>
      <c r="G712" s="123"/>
      <c r="H712" s="132"/>
    </row>
    <row r="713" spans="1:18" ht="15" customHeight="1">
      <c r="A713" s="275" t="s">
        <v>5</v>
      </c>
      <c r="B713" s="275"/>
      <c r="C713" s="78" t="s">
        <v>17</v>
      </c>
      <c r="D713" s="79" t="s">
        <v>18</v>
      </c>
      <c r="E713" s="83" t="s">
        <v>7</v>
      </c>
      <c r="F713" s="119"/>
      <c r="G713" s="195" t="str">
        <f>CONCATENATE("Misc. Healthy parts/ Non Ferrous  Scrap, Lying at ",C714,". Quantity in MT - ")</f>
        <v>Misc. Healthy parts/ Non Ferrous  Scrap, Lying at OL Barnala. Quantity in MT - </v>
      </c>
      <c r="H713" s="163" t="str">
        <f ca="1">CONCATENATE(G713,G714,(INDIRECT(I714)),(INDIRECT(J714)),(INDIRECT(K714)),(INDIRECT(L714)),(INDIRECT(M714)),(INDIRECT(N714)),(INDIRECT(O714)),(INDIRECT(P714)),(INDIRECT(Q714)),(INDIRECT(R714)),".")</f>
        <v>Misc. Healthy parts/ Non Ferrous  Scrap, Lying at OL Barnala. Quantity in MT - Misc. copper scrap - 0.021, .</v>
      </c>
      <c r="I713" s="128" t="str">
        <f aca="true" ca="1" t="array" ref="I713">CELL("address",INDEX(G713:G731,MATCH(TRUE,ISBLANK(G713:G731),0)))</f>
        <v>$G$715</v>
      </c>
      <c r="J713" s="128">
        <f aca="true" t="array" ref="J713">MATCH(TRUE,ISBLANK(G713:G731),0)</f>
        <v>3</v>
      </c>
      <c r="K713" s="128">
        <f>J713-3</f>
        <v>0</v>
      </c>
      <c r="L713" s="128"/>
      <c r="M713" s="128"/>
      <c r="N713" s="128"/>
      <c r="O713" s="128"/>
      <c r="P713" s="128"/>
      <c r="Q713" s="128"/>
      <c r="R713" s="128"/>
    </row>
    <row r="714" spans="1:18" ht="15" customHeight="1">
      <c r="A714" s="275" t="s">
        <v>271</v>
      </c>
      <c r="B714" s="275"/>
      <c r="C714" s="199" t="s">
        <v>192</v>
      </c>
      <c r="D714" s="73" t="s">
        <v>113</v>
      </c>
      <c r="E714" s="84">
        <v>0.021</v>
      </c>
      <c r="F714" s="194"/>
      <c r="G714" s="119" t="str">
        <f>CONCATENATE(D714," - ",E714,", ")</f>
        <v>Misc. copper scrap - 0.021, </v>
      </c>
      <c r="H714" s="138"/>
      <c r="I714" s="128" t="str">
        <f ca="1">IF(J713&gt;=3,(MID(I713,2,1)&amp;MID(I713,4,4)-K713),CELL("address",Z714))</f>
        <v>G715</v>
      </c>
      <c r="J714" s="128" t="str">
        <f ca="1">IF(J713&gt;=4,(MID(I714,1,1)&amp;MID(I714,2,4)+1),CELL("address",AA714))</f>
        <v>$AA$714</v>
      </c>
      <c r="K714" s="128" t="str">
        <f ca="1">IF(J713&gt;=5,(MID(J714,1,1)&amp;MID(J714,2,4)+1),CELL("address",AB714))</f>
        <v>$AB$714</v>
      </c>
      <c r="L714" s="128" t="str">
        <f ca="1">IF(J713&gt;=6,(MID(K714,1,1)&amp;MID(K714,2,4)+1),CELL("address",AC714))</f>
        <v>$AC$714</v>
      </c>
      <c r="M714" s="128" t="str">
        <f ca="1">IF(J713&gt;=7,(MID(L714,1,1)&amp;MID(L714,2,4)+1),CELL("address",AD714))</f>
        <v>$AD$714</v>
      </c>
      <c r="N714" s="128" t="str">
        <f ca="1">IF(J713&gt;=8,(MID(M714,1,1)&amp;MID(M714,2,4)+1),CELL("address",AE714))</f>
        <v>$AE$714</v>
      </c>
      <c r="O714" s="128" t="str">
        <f ca="1">IF(J713&gt;=9,(MID(N714,1,1)&amp;MID(N714,2,4)+1),CELL("address",AF714))</f>
        <v>$AF$714</v>
      </c>
      <c r="P714" s="128" t="str">
        <f ca="1">IF(J713&gt;=10,(MID(O714,1,1)&amp;MID(O714,2,4)+1),CELL("address",AG714))</f>
        <v>$AG$714</v>
      </c>
      <c r="Q714" s="128" t="str">
        <f ca="1">IF(J713&gt;=11,(MID(P714,1,1)&amp;MID(P714,2,4)+1),CELL("address",AH714))</f>
        <v>$AH$714</v>
      </c>
      <c r="R714" s="128" t="str">
        <f ca="1">IF(J713&gt;=12,(MID(Q714,1,1)&amp;MID(Q714,2,4)+1),CELL("address",AI714))</f>
        <v>$AI$714</v>
      </c>
    </row>
    <row r="715" spans="1:8" ht="15" customHeight="1">
      <c r="A715" s="40"/>
      <c r="B715" s="1"/>
      <c r="C715" s="1"/>
      <c r="D715" s="1"/>
      <c r="E715" s="1"/>
      <c r="F715" s="194"/>
      <c r="G715" s="119"/>
      <c r="H715" s="132"/>
    </row>
    <row r="716" spans="1:8" ht="15" customHeight="1">
      <c r="A716" s="288"/>
      <c r="B716" s="289"/>
      <c r="C716" s="81"/>
      <c r="D716" s="81"/>
      <c r="E716" s="160">
        <f>SUM(E718:E720)</f>
        <v>1.097</v>
      </c>
      <c r="F716" s="194"/>
      <c r="G716" s="119"/>
      <c r="H716" s="132"/>
    </row>
    <row r="717" spans="1:18" ht="15" customHeight="1">
      <c r="A717" s="275" t="s">
        <v>5</v>
      </c>
      <c r="B717" s="275"/>
      <c r="C717" s="78" t="s">
        <v>17</v>
      </c>
      <c r="D717" s="79" t="s">
        <v>18</v>
      </c>
      <c r="E717" s="83" t="s">
        <v>7</v>
      </c>
      <c r="F717" s="194"/>
      <c r="G717" s="121" t="str">
        <f>CONCATENATE("Misc. Healthy parts/ Non Ferrous  Scrap, Lying at ",C718,". Quantity in MT - ")</f>
        <v>Misc. Healthy parts/ Non Ferrous  Scrap, Lying at TRY Moga. Quantity in MT - </v>
      </c>
      <c r="H717" s="138" t="str">
        <f ca="1">CONCATENATE(G717,G718,(INDIRECT(I718)),(INDIRECT(J718)),(INDIRECT(K718)),(INDIRECT(L718)),(INDIRECT(M718)),(INDIRECT(N718)),(INDIRECT(O718)),(INDIRECT(P718)),(INDIRECT(Q718)),(INDIRECT(R718)),".")</f>
        <v>Misc. Healthy parts/ Non Ferrous  Scrap, Lying at TRY Moga. Quantity in MT - Brass scrap - 0.911, Misc. Alumn. Scrap - 0.125, Iron scrap - 0.061, .</v>
      </c>
      <c r="I717" s="128" t="str">
        <f aca="true" ca="1" t="array" ref="I717">CELL("address",INDEX(G717:G735,MATCH(TRUE,ISBLANK(G717:G735),0)))</f>
        <v>$G$721</v>
      </c>
      <c r="J717" s="128">
        <f aca="true" t="array" ref="J717">MATCH(TRUE,ISBLANK(G717:G735),0)</f>
        <v>5</v>
      </c>
      <c r="K717" s="128">
        <f>J717-3</f>
        <v>2</v>
      </c>
      <c r="L717" s="128"/>
      <c r="M717" s="128"/>
      <c r="N717" s="128"/>
      <c r="O717" s="128"/>
      <c r="P717" s="128"/>
      <c r="Q717" s="128"/>
      <c r="R717" s="128"/>
    </row>
    <row r="718" spans="1:18" ht="15" customHeight="1">
      <c r="A718" s="275" t="s">
        <v>276</v>
      </c>
      <c r="B718" s="275"/>
      <c r="C718" s="274" t="s">
        <v>225</v>
      </c>
      <c r="D718" s="50" t="s">
        <v>23</v>
      </c>
      <c r="E718" s="161">
        <v>0.911</v>
      </c>
      <c r="F718" s="194"/>
      <c r="G718" s="119" t="str">
        <f>CONCATENATE(D718," - ",E718,", ")</f>
        <v>Brass scrap - 0.911, </v>
      </c>
      <c r="H718" s="138"/>
      <c r="I718" s="128" t="str">
        <f ca="1">IF(J717&gt;=3,(MID(I717,2,1)&amp;MID(I717,4,4)-K717),CELL("address",Z718))</f>
        <v>G719</v>
      </c>
      <c r="J718" s="128" t="str">
        <f ca="1">IF(J717&gt;=4,(MID(I718,1,1)&amp;MID(I718,2,4)+1),CELL("address",AA718))</f>
        <v>G720</v>
      </c>
      <c r="K718" s="128" t="str">
        <f ca="1">IF(J717&gt;=5,(MID(J718,1,1)&amp;MID(J718,2,4)+1),CELL("address",AB718))</f>
        <v>G721</v>
      </c>
      <c r="L718" s="128" t="str">
        <f ca="1">IF(J717&gt;=6,(MID(K718,1,1)&amp;MID(K718,2,4)+1),CELL("address",AC718))</f>
        <v>$AC$718</v>
      </c>
      <c r="M718" s="128" t="str">
        <f ca="1">IF(J717&gt;=7,(MID(L718,1,1)&amp;MID(L718,2,4)+1),CELL("address",AD718))</f>
        <v>$AD$718</v>
      </c>
      <c r="N718" s="128" t="str">
        <f ca="1">IF(J717&gt;=8,(MID(M718,1,1)&amp;MID(M718,2,4)+1),CELL("address",AE718))</f>
        <v>$AE$718</v>
      </c>
      <c r="O718" s="128" t="str">
        <f ca="1">IF(J717&gt;=9,(MID(N718,1,1)&amp;MID(N718,2,4)+1),CELL("address",AF718))</f>
        <v>$AF$718</v>
      </c>
      <c r="P718" s="128" t="str">
        <f ca="1">IF(J717&gt;=10,(MID(O718,1,1)&amp;MID(O718,2,4)+1),CELL("address",AG718))</f>
        <v>$AG$718</v>
      </c>
      <c r="Q718" s="128" t="str">
        <f ca="1">IF(J717&gt;=11,(MID(P718,1,1)&amp;MID(P718,2,4)+1),CELL("address",AH718))</f>
        <v>$AH$718</v>
      </c>
      <c r="R718" s="128" t="str">
        <f ca="1">IF(J717&gt;=12,(MID(Q718,1,1)&amp;MID(Q718,2,4)+1),CELL("address",AI718))</f>
        <v>$AI$718</v>
      </c>
    </row>
    <row r="719" spans="1:8" ht="15" customHeight="1">
      <c r="A719" s="275"/>
      <c r="B719" s="275"/>
      <c r="C719" s="274"/>
      <c r="D719" s="50" t="s">
        <v>31</v>
      </c>
      <c r="E719" s="83">
        <v>0.125</v>
      </c>
      <c r="F719" s="194"/>
      <c r="G719" s="119" t="str">
        <f>CONCATENATE(D719," - ",E719,", ")</f>
        <v>Misc. Alumn. Scrap - 0.125, </v>
      </c>
      <c r="H719" s="132"/>
    </row>
    <row r="720" spans="1:8" ht="15" customHeight="1">
      <c r="A720" s="275"/>
      <c r="B720" s="275"/>
      <c r="C720" s="274"/>
      <c r="D720" s="45" t="s">
        <v>27</v>
      </c>
      <c r="E720" s="83">
        <v>0.061</v>
      </c>
      <c r="F720" s="194"/>
      <c r="G720" s="119" t="str">
        <f>CONCATENATE(D720," - ",E720,", ")</f>
        <v>Iron scrap - 0.061, </v>
      </c>
      <c r="H720" s="132"/>
    </row>
    <row r="721" spans="1:8" ht="15" customHeight="1">
      <c r="A721" s="40"/>
      <c r="B721" s="1"/>
      <c r="C721" s="1"/>
      <c r="D721" s="1"/>
      <c r="E721" s="1"/>
      <c r="F721" s="119"/>
      <c r="G721" s="135"/>
      <c r="H721" s="132"/>
    </row>
    <row r="722" spans="1:8" ht="15" customHeight="1">
      <c r="A722" s="288"/>
      <c r="B722" s="289"/>
      <c r="C722" s="81"/>
      <c r="D722" s="81"/>
      <c r="E722" s="160">
        <f>SUM(E724:E724)</f>
        <v>0.174</v>
      </c>
      <c r="F722" s="119"/>
      <c r="G722" s="135"/>
      <c r="H722" s="132"/>
    </row>
    <row r="723" spans="1:18" ht="15" customHeight="1">
      <c r="A723" s="275" t="s">
        <v>5</v>
      </c>
      <c r="B723" s="275"/>
      <c r="C723" s="78" t="s">
        <v>17</v>
      </c>
      <c r="D723" s="79" t="s">
        <v>18</v>
      </c>
      <c r="E723" s="83" t="s">
        <v>7</v>
      </c>
      <c r="F723" s="119"/>
      <c r="G723" s="219" t="str">
        <f>CONCATENATE("Misc. Healthy parts/ Non Ferrous  Scrap, Lying at ",C724,". Quantity in MT - ")</f>
        <v>Misc. Healthy parts/ Non Ferrous  Scrap, Lying at CS Ferozepur. Quantity in MT - </v>
      </c>
      <c r="H723" s="138" t="str">
        <f ca="1">CONCATENATE(G723,G724,(INDIRECT(I724)),(INDIRECT(J724)),(INDIRECT(K724)),(INDIRECT(L724)),(INDIRECT(M724)),(INDIRECT(N724)),(INDIRECT(O724)),(INDIRECT(P724)),(INDIRECT(Q724)),(INDIRECT(R724)),".")</f>
        <v>Misc. Healthy parts/ Non Ferrous  Scrap, Lying at CS Ferozepur. Quantity in MT - Misc. copper scrap - 0.174, .</v>
      </c>
      <c r="I723" s="128" t="str">
        <f aca="true" ca="1" t="array" ref="I723">CELL("address",INDEX(G723:G744,MATCH(TRUE,ISBLANK(G723:G744),0)))</f>
        <v>$G$725</v>
      </c>
      <c r="J723" s="128">
        <f aca="true" t="array" ref="J723">MATCH(TRUE,ISBLANK(G723:G744),0)</f>
        <v>3</v>
      </c>
      <c r="K723" s="128">
        <f>J723-3</f>
        <v>0</v>
      </c>
      <c r="L723" s="128"/>
      <c r="M723" s="128"/>
      <c r="N723" s="128"/>
      <c r="O723" s="128"/>
      <c r="P723" s="128"/>
      <c r="Q723" s="128"/>
      <c r="R723" s="128"/>
    </row>
    <row r="724" spans="1:18" ht="15" customHeight="1">
      <c r="A724" s="275" t="s">
        <v>330</v>
      </c>
      <c r="B724" s="275"/>
      <c r="C724" s="200" t="s">
        <v>100</v>
      </c>
      <c r="D724" s="73" t="s">
        <v>113</v>
      </c>
      <c r="E724" s="84">
        <v>0.174</v>
      </c>
      <c r="F724" s="119"/>
      <c r="G724" s="135" t="str">
        <f>CONCATENATE(D724," - ",E724,", ")</f>
        <v>Misc. copper scrap - 0.174, </v>
      </c>
      <c r="H724" s="138"/>
      <c r="I724" s="128" t="str">
        <f ca="1">IF(J723&gt;=3,(MID(I723,2,1)&amp;MID(I723,4,4)-K723),CELL("address",Z724))</f>
        <v>G725</v>
      </c>
      <c r="J724" s="128" t="str">
        <f ca="1">IF(J723&gt;=4,(MID(I724,1,1)&amp;MID(I724,2,4)+1),CELL("address",AA724))</f>
        <v>$AA$724</v>
      </c>
      <c r="K724" s="128" t="str">
        <f ca="1">IF(J723&gt;=5,(MID(J724,1,1)&amp;MID(J724,2,4)+1),CELL("address",AB724))</f>
        <v>$AB$724</v>
      </c>
      <c r="L724" s="128" t="str">
        <f ca="1">IF(J723&gt;=6,(MID(K724,1,1)&amp;MID(K724,2,4)+1),CELL("address",AC724))</f>
        <v>$AC$724</v>
      </c>
      <c r="M724" s="128" t="str">
        <f ca="1">IF(J723&gt;=7,(MID(L724,1,1)&amp;MID(L724,2,4)+1),CELL("address",AD724))</f>
        <v>$AD$724</v>
      </c>
      <c r="N724" s="128" t="str">
        <f ca="1">IF(J723&gt;=8,(MID(M724,1,1)&amp;MID(M724,2,4)+1),CELL("address",AE724))</f>
        <v>$AE$724</v>
      </c>
      <c r="O724" s="128" t="str">
        <f ca="1">IF(J723&gt;=9,(MID(N724,1,1)&amp;MID(N724,2,4)+1),CELL("address",AF724))</f>
        <v>$AF$724</v>
      </c>
      <c r="P724" s="128" t="str">
        <f ca="1">IF(J723&gt;=10,(MID(O724,1,1)&amp;MID(O724,2,4)+1),CELL("address",AG724))</f>
        <v>$AG$724</v>
      </c>
      <c r="Q724" s="128" t="str">
        <f ca="1">IF(J723&gt;=11,(MID(P724,1,1)&amp;MID(P724,2,4)+1),CELL("address",AH724))</f>
        <v>$AH$724</v>
      </c>
      <c r="R724" s="128" t="str">
        <f ca="1">IF(J723&gt;=12,(MID(Q724,1,1)&amp;MID(Q724,2,4)+1),CELL("address",AI724))</f>
        <v>$AI$724</v>
      </c>
    </row>
    <row r="725" spans="1:8" ht="15" customHeight="1">
      <c r="A725" s="40"/>
      <c r="B725" s="1"/>
      <c r="C725" s="1"/>
      <c r="D725" s="1"/>
      <c r="E725" s="1"/>
      <c r="F725" s="119"/>
      <c r="H725" s="130"/>
    </row>
    <row r="726" spans="1:8" ht="15" customHeight="1">
      <c r="A726" s="288"/>
      <c r="B726" s="289"/>
      <c r="C726" s="81"/>
      <c r="D726" s="81"/>
      <c r="E726" s="160">
        <f>SUM(E728:E731)</f>
        <v>0.23000000000000004</v>
      </c>
      <c r="F726" s="119"/>
      <c r="H726" s="130"/>
    </row>
    <row r="727" spans="1:18" ht="15" customHeight="1">
      <c r="A727" s="275" t="s">
        <v>5</v>
      </c>
      <c r="B727" s="275"/>
      <c r="C727" s="78" t="s">
        <v>17</v>
      </c>
      <c r="D727" s="79" t="s">
        <v>18</v>
      </c>
      <c r="E727" s="83" t="s">
        <v>7</v>
      </c>
      <c r="F727" s="119"/>
      <c r="G727" s="220" t="str">
        <f>CONCATENATE("Misc. Healthy parts/ Non Ferrous  Scrap, Lying at ",C728,". Quantity in MT - ")</f>
        <v>Misc. Healthy parts/ Non Ferrous  Scrap, Lying at TRY Barnala. Quantity in MT - </v>
      </c>
      <c r="H727" s="138" t="str">
        <f ca="1">CONCATENATE(G727,G728,(INDIRECT(I728)),(INDIRECT(J728)),(INDIRECT(K728)),(INDIRECT(L728)),(INDIRECT(M728)),(INDIRECT(N728)),(INDIRECT(O728)),(INDIRECT(P728)),(INDIRECT(Q728)),(INDIRECT(R728)),".")</f>
        <v>Misc. Healthy parts/ Non Ferrous  Scrap, Lying at TRY Barnala. Quantity in MT - Brass scrap - 0.2, Misc. Alumn. Scrap - 0.011, Iron scrap - 0.011, Burnt Cu scrap - 0.008, .</v>
      </c>
      <c r="I727" s="128" t="str">
        <f aca="true" ca="1" t="array" ref="I727">CELL("address",INDEX(G727:G748,MATCH(TRUE,ISBLANK(G727:G748),0)))</f>
        <v>$G$732</v>
      </c>
      <c r="J727" s="128">
        <f aca="true" t="array" ref="J727">MATCH(TRUE,ISBLANK(G727:G748),0)</f>
        <v>6</v>
      </c>
      <c r="K727" s="128">
        <f>J727-3</f>
        <v>3</v>
      </c>
      <c r="L727" s="128"/>
      <c r="M727" s="128"/>
      <c r="N727" s="128"/>
      <c r="O727" s="128"/>
      <c r="P727" s="128"/>
      <c r="Q727" s="128"/>
      <c r="R727" s="128"/>
    </row>
    <row r="728" spans="1:18" ht="15" customHeight="1">
      <c r="A728" s="275" t="s">
        <v>338</v>
      </c>
      <c r="B728" s="275"/>
      <c r="C728" s="274" t="s">
        <v>342</v>
      </c>
      <c r="D728" s="50" t="s">
        <v>23</v>
      </c>
      <c r="E728" s="161">
        <v>0.2</v>
      </c>
      <c r="F728" s="119"/>
      <c r="G728" s="221" t="str">
        <f>CONCATENATE(D728," - ",E728,", ")</f>
        <v>Brass scrap - 0.2, </v>
      </c>
      <c r="H728" s="138"/>
      <c r="I728" s="128" t="str">
        <f ca="1">IF(J727&gt;=3,(MID(I727,2,1)&amp;MID(I727,4,4)-K727),CELL("address",Z728))</f>
        <v>G729</v>
      </c>
      <c r="J728" s="128" t="str">
        <f ca="1">IF(J727&gt;=4,(MID(I728,1,1)&amp;MID(I728,2,4)+1),CELL("address",AA728))</f>
        <v>G730</v>
      </c>
      <c r="K728" s="128" t="str">
        <f ca="1">IF(J727&gt;=5,(MID(J728,1,1)&amp;MID(J728,2,4)+1),CELL("address",AB728))</f>
        <v>G731</v>
      </c>
      <c r="L728" s="128" t="str">
        <f ca="1">IF(J727&gt;=6,(MID(K728,1,1)&amp;MID(K728,2,4)+1),CELL("address",AC728))</f>
        <v>G732</v>
      </c>
      <c r="M728" s="128" t="str">
        <f ca="1">IF(J727&gt;=7,(MID(L728,1,1)&amp;MID(L728,2,4)+1),CELL("address",AD728))</f>
        <v>$AD$728</v>
      </c>
      <c r="N728" s="128" t="str">
        <f ca="1">IF(J727&gt;=8,(MID(M728,1,1)&amp;MID(M728,2,4)+1),CELL("address",AE728))</f>
        <v>$AE$728</v>
      </c>
      <c r="O728" s="128" t="str">
        <f ca="1">IF(J727&gt;=9,(MID(N728,1,1)&amp;MID(N728,2,4)+1),CELL("address",AF728))</f>
        <v>$AF$728</v>
      </c>
      <c r="P728" s="128" t="str">
        <f ca="1">IF(J727&gt;=10,(MID(O728,1,1)&amp;MID(O728,2,4)+1),CELL("address",AG728))</f>
        <v>$AG$728</v>
      </c>
      <c r="Q728" s="128" t="str">
        <f ca="1">IF(J727&gt;=11,(MID(P728,1,1)&amp;MID(P728,2,4)+1),CELL("address",AH728))</f>
        <v>$AH$728</v>
      </c>
      <c r="R728" s="128" t="str">
        <f ca="1">IF(J727&gt;=12,(MID(Q728,1,1)&amp;MID(Q728,2,4)+1),CELL("address",AI728))</f>
        <v>$AI$728</v>
      </c>
    </row>
    <row r="729" spans="1:8" ht="15" customHeight="1">
      <c r="A729" s="275"/>
      <c r="B729" s="275"/>
      <c r="C729" s="274"/>
      <c r="D729" s="50" t="s">
        <v>31</v>
      </c>
      <c r="E729" s="83">
        <v>0.011</v>
      </c>
      <c r="F729" s="119"/>
      <c r="G729" s="221" t="str">
        <f>CONCATENATE(D729," - ",E729,", ")</f>
        <v>Misc. Alumn. Scrap - 0.011, </v>
      </c>
      <c r="H729" s="132"/>
    </row>
    <row r="730" spans="1:8" ht="15" customHeight="1">
      <c r="A730" s="275"/>
      <c r="B730" s="275"/>
      <c r="C730" s="274"/>
      <c r="D730" s="45" t="s">
        <v>27</v>
      </c>
      <c r="E730" s="83">
        <v>0.011</v>
      </c>
      <c r="F730" s="119"/>
      <c r="G730" s="221" t="str">
        <f>CONCATENATE(D730," - ",E730,", ")</f>
        <v>Iron scrap - 0.011, </v>
      </c>
      <c r="H730" s="132"/>
    </row>
    <row r="731" spans="1:8" ht="15" customHeight="1">
      <c r="A731" s="275"/>
      <c r="B731" s="275"/>
      <c r="C731" s="274"/>
      <c r="D731" s="45" t="s">
        <v>37</v>
      </c>
      <c r="E731" s="212">
        <v>0.008</v>
      </c>
      <c r="F731" s="119"/>
      <c r="G731" s="221" t="str">
        <f>CONCATENATE(D731," - ",E731,", ")</f>
        <v>Burnt Cu scrap - 0.008, </v>
      </c>
      <c r="H731" s="132"/>
    </row>
    <row r="732" spans="1:8" ht="15" customHeight="1">
      <c r="A732" s="40"/>
      <c r="B732" s="1"/>
      <c r="C732" s="1"/>
      <c r="D732" s="1"/>
      <c r="E732" s="1"/>
      <c r="F732" s="119"/>
      <c r="H732" s="132"/>
    </row>
    <row r="733" spans="1:8" ht="15" customHeight="1">
      <c r="A733" s="288"/>
      <c r="B733" s="289"/>
      <c r="C733" s="81"/>
      <c r="D733" s="81"/>
      <c r="E733" s="160">
        <f>SUM(E735:E739)</f>
        <v>2.958</v>
      </c>
      <c r="F733" s="119"/>
      <c r="H733" s="132"/>
    </row>
    <row r="734" spans="1:18" ht="24" customHeight="1">
      <c r="A734" s="275" t="s">
        <v>5</v>
      </c>
      <c r="B734" s="275"/>
      <c r="C734" s="78" t="s">
        <v>17</v>
      </c>
      <c r="D734" s="79" t="s">
        <v>18</v>
      </c>
      <c r="E734" s="83" t="s">
        <v>7</v>
      </c>
      <c r="F734" s="119"/>
      <c r="G734" s="220" t="str">
        <f>CONCATENATE("Misc. Healthy parts/ Non Ferrous  Scrap, Lying at ",C735,". Quantity in MT - ")</f>
        <v>Misc. Healthy parts/ Non Ferrous  Scrap, Lying at TRY Sangrur. Quantity in MT - </v>
      </c>
      <c r="H734" s="138" t="str">
        <f ca="1">CONCATENATE(G734,G735,(INDIRECT(I735)),(INDIRECT(J735)),(INDIRECT(K735)),(INDIRECT(L735)),(INDIRECT(M735)),(INDIRECT(N735)),(INDIRECT(O735)),(INDIRECT(P735)),(INDIRECT(Q735)),(INDIRECT(R735)),".")</f>
        <v>Misc. Healthy parts/ Non Ferrous  Scrap, Lying at TRY Sangrur. Quantity in MT - Brass scrap - 1.56, Misc. Alumn. Scrap - 0.125, Burnt Cu scrap - 0.043, Iron scrap - 0.177, Nuts &amp; Bolts scrap - 1.053, .</v>
      </c>
      <c r="I734" s="128" t="str">
        <f aca="true" ca="1" t="array" ref="I734">CELL("address",INDEX(G734:G755,MATCH(TRUE,ISBLANK(G734:G755),0)))</f>
        <v>$G$740</v>
      </c>
      <c r="J734" s="128">
        <f aca="true" t="array" ref="J734">MATCH(TRUE,ISBLANK(G734:G755),0)</f>
        <v>7</v>
      </c>
      <c r="K734" s="128">
        <f>J734-3</f>
        <v>4</v>
      </c>
      <c r="L734" s="128"/>
      <c r="M734" s="128"/>
      <c r="N734" s="128"/>
      <c r="O734" s="128"/>
      <c r="P734" s="128"/>
      <c r="Q734" s="128"/>
      <c r="R734" s="128"/>
    </row>
    <row r="735" spans="1:18" ht="15" customHeight="1">
      <c r="A735" s="275" t="s">
        <v>343</v>
      </c>
      <c r="B735" s="275"/>
      <c r="C735" s="274" t="s">
        <v>137</v>
      </c>
      <c r="D735" s="50" t="s">
        <v>23</v>
      </c>
      <c r="E735" s="260">
        <v>1.56</v>
      </c>
      <c r="F735" s="119"/>
      <c r="G735" s="221" t="str">
        <f>CONCATENATE(D735," - ",E735,", ")</f>
        <v>Brass scrap - 1.56, </v>
      </c>
      <c r="H735" s="138"/>
      <c r="I735" s="128" t="str">
        <f ca="1">IF(J734&gt;=3,(MID(I734,2,1)&amp;MID(I734,4,4)-K734),CELL("address",Z735))</f>
        <v>G736</v>
      </c>
      <c r="J735" s="128" t="str">
        <f ca="1">IF(J734&gt;=4,(MID(I735,1,1)&amp;MID(I735,2,4)+1),CELL("address",AA735))</f>
        <v>G737</v>
      </c>
      <c r="K735" s="128" t="str">
        <f ca="1">IF(J734&gt;=5,(MID(J735,1,1)&amp;MID(J735,2,4)+1),CELL("address",AB735))</f>
        <v>G738</v>
      </c>
      <c r="L735" s="128" t="str">
        <f ca="1">IF(J734&gt;=6,(MID(K735,1,1)&amp;MID(K735,2,4)+1),CELL("address",AC735))</f>
        <v>G739</v>
      </c>
      <c r="M735" s="128" t="str">
        <f ca="1">IF(J734&gt;=7,(MID(L735,1,1)&amp;MID(L735,2,4)+1),CELL("address",AD735))</f>
        <v>G740</v>
      </c>
      <c r="N735" s="128" t="str">
        <f ca="1">IF(J734&gt;=8,(MID(M735,1,1)&amp;MID(M735,2,4)+1),CELL("address",AE735))</f>
        <v>$AE$735</v>
      </c>
      <c r="O735" s="128" t="str">
        <f ca="1">IF(J734&gt;=9,(MID(N735,1,1)&amp;MID(N735,2,4)+1),CELL("address",AF735))</f>
        <v>$AF$735</v>
      </c>
      <c r="P735" s="128" t="str">
        <f ca="1">IF(J734&gt;=10,(MID(O735,1,1)&amp;MID(O735,2,4)+1),CELL("address",AG735))</f>
        <v>$AG$735</v>
      </c>
      <c r="Q735" s="128" t="str">
        <f ca="1">IF(J734&gt;=11,(MID(P735,1,1)&amp;MID(P735,2,4)+1),CELL("address",AH735))</f>
        <v>$AH$735</v>
      </c>
      <c r="R735" s="128" t="str">
        <f ca="1">IF(J734&gt;=12,(MID(Q735,1,1)&amp;MID(Q735,2,4)+1),CELL("address",AI735))</f>
        <v>$AI$735</v>
      </c>
    </row>
    <row r="736" spans="1:8" ht="15" customHeight="1">
      <c r="A736" s="275"/>
      <c r="B736" s="275"/>
      <c r="C736" s="274"/>
      <c r="D736" s="50" t="s">
        <v>31</v>
      </c>
      <c r="E736" s="212">
        <v>0.125</v>
      </c>
      <c r="F736" s="119"/>
      <c r="G736" s="221" t="str">
        <f>CONCATENATE(D736," - ",E736,", ")</f>
        <v>Misc. Alumn. Scrap - 0.125, </v>
      </c>
      <c r="H736" s="132"/>
    </row>
    <row r="737" spans="1:8" ht="15" customHeight="1">
      <c r="A737" s="275"/>
      <c r="B737" s="275"/>
      <c r="C737" s="274"/>
      <c r="D737" s="45" t="s">
        <v>37</v>
      </c>
      <c r="E737" s="212">
        <v>0.043</v>
      </c>
      <c r="F737" s="119"/>
      <c r="G737" s="221" t="str">
        <f>CONCATENATE(D737," - ",E737,", ")</f>
        <v>Burnt Cu scrap - 0.043, </v>
      </c>
      <c r="H737" s="132"/>
    </row>
    <row r="738" spans="1:8" ht="15" customHeight="1">
      <c r="A738" s="275"/>
      <c r="B738" s="275"/>
      <c r="C738" s="274"/>
      <c r="D738" s="45" t="s">
        <v>27</v>
      </c>
      <c r="E738" s="212">
        <v>0.177</v>
      </c>
      <c r="F738" s="119"/>
      <c r="G738" s="221" t="str">
        <f>CONCATENATE(D738," - ",E738,", ")</f>
        <v>Iron scrap - 0.177, </v>
      </c>
      <c r="H738" s="132"/>
    </row>
    <row r="739" spans="1:8" ht="15" customHeight="1">
      <c r="A739" s="275"/>
      <c r="B739" s="275"/>
      <c r="C739" s="274"/>
      <c r="D739" s="45" t="s">
        <v>59</v>
      </c>
      <c r="E739" s="212">
        <v>1.053</v>
      </c>
      <c r="F739" s="119"/>
      <c r="G739" s="221" t="str">
        <f>CONCATENATE(D739," - ",E739,", ")</f>
        <v>Nuts &amp; Bolts scrap - 1.053, </v>
      </c>
      <c r="H739" s="132"/>
    </row>
    <row r="740" spans="1:8" ht="15" customHeight="1">
      <c r="A740" s="1"/>
      <c r="B740" s="1"/>
      <c r="C740" s="1"/>
      <c r="D740" s="1"/>
      <c r="E740" s="1"/>
      <c r="F740" s="119"/>
      <c r="H740" s="132"/>
    </row>
    <row r="741" spans="1:8" ht="15" customHeight="1">
      <c r="A741" s="288"/>
      <c r="B741" s="289"/>
      <c r="C741" s="81"/>
      <c r="D741" s="81"/>
      <c r="E741" s="160">
        <f>SUM(E743:E744)</f>
        <v>0.44999999999999996</v>
      </c>
      <c r="F741" s="119"/>
      <c r="H741" s="132"/>
    </row>
    <row r="742" spans="1:18" ht="15" customHeight="1">
      <c r="A742" s="275" t="s">
        <v>5</v>
      </c>
      <c r="B742" s="275"/>
      <c r="C742" s="78" t="s">
        <v>17</v>
      </c>
      <c r="D742" s="79" t="s">
        <v>18</v>
      </c>
      <c r="E742" s="83" t="s">
        <v>7</v>
      </c>
      <c r="F742" s="119"/>
      <c r="G742" s="219" t="str">
        <f>CONCATENATE("Misc. Healthy parts/ Non Ferrous  Scrap, Lying at ",C743,". Quantity in MT - ")</f>
        <v>Misc. Healthy parts/ Non Ferrous  Scrap, Lying at TRY Sangrur. Quantity in MT - </v>
      </c>
      <c r="H742" s="138" t="str">
        <f ca="1">CONCATENATE(G742,G743,(INDIRECT(I743)),(INDIRECT(J743)),(INDIRECT(K743)),(INDIRECT(L743)),(INDIRECT(M743)),(INDIRECT(N743)),(INDIRECT(O743)),(INDIRECT(P743)),(INDIRECT(Q743)),(INDIRECT(R743)),".")</f>
        <v>Misc. Healthy parts/ Non Ferrous  Scrap, Lying at TRY Sangrur. Quantity in MT - Brass scrap - 0.411, Misc. Alumn. Scrap - 0.039, .</v>
      </c>
      <c r="I742" s="128" t="str">
        <f aca="true" ca="1" t="array" ref="I742">CELL("address",INDEX(G742:G763,MATCH(TRUE,ISBLANK(G742:G763),0)))</f>
        <v>$G$745</v>
      </c>
      <c r="J742" s="128">
        <f aca="true" t="array" ref="J742">MATCH(TRUE,ISBLANK(G742:G763),0)</f>
        <v>4</v>
      </c>
      <c r="K742" s="128">
        <f>J742-3</f>
        <v>1</v>
      </c>
      <c r="L742" s="128"/>
      <c r="M742" s="128"/>
      <c r="N742" s="128"/>
      <c r="O742" s="128"/>
      <c r="P742" s="128"/>
      <c r="Q742" s="128"/>
      <c r="R742" s="128"/>
    </row>
    <row r="743" spans="1:18" ht="15" customHeight="1">
      <c r="A743" s="275" t="s">
        <v>344</v>
      </c>
      <c r="B743" s="275"/>
      <c r="C743" s="274" t="s">
        <v>137</v>
      </c>
      <c r="D743" s="50" t="s">
        <v>23</v>
      </c>
      <c r="E743" s="161">
        <v>0.411</v>
      </c>
      <c r="F743" s="119"/>
      <c r="G743" s="135" t="str">
        <f>CONCATENATE(D743," - ",E743,", ")</f>
        <v>Brass scrap - 0.411, </v>
      </c>
      <c r="H743" s="138"/>
      <c r="I743" s="128" t="str">
        <f ca="1">IF(J742&gt;=3,(MID(I742,2,1)&amp;MID(I742,4,4)-K742),CELL("address",Z743))</f>
        <v>G744</v>
      </c>
      <c r="J743" s="128" t="str">
        <f ca="1">IF(J742&gt;=4,(MID(I743,1,1)&amp;MID(I743,2,4)+1),CELL("address",AA743))</f>
        <v>G745</v>
      </c>
      <c r="K743" s="128" t="str">
        <f ca="1">IF(J742&gt;=5,(MID(J743,1,1)&amp;MID(J743,2,4)+1),CELL("address",AB743))</f>
        <v>$AB$743</v>
      </c>
      <c r="L743" s="128" t="str">
        <f ca="1">IF(J742&gt;=6,(MID(K743,1,1)&amp;MID(K743,2,4)+1),CELL("address",AC743))</f>
        <v>$AC$743</v>
      </c>
      <c r="M743" s="128" t="str">
        <f ca="1">IF(J742&gt;=7,(MID(L743,1,1)&amp;MID(L743,2,4)+1),CELL("address",AD743))</f>
        <v>$AD$743</v>
      </c>
      <c r="N743" s="128" t="str">
        <f ca="1">IF(J742&gt;=8,(MID(M743,1,1)&amp;MID(M743,2,4)+1),CELL("address",AE743))</f>
        <v>$AE$743</v>
      </c>
      <c r="O743" s="128" t="str">
        <f ca="1">IF(J742&gt;=9,(MID(N743,1,1)&amp;MID(N743,2,4)+1),CELL("address",AF743))</f>
        <v>$AF$743</v>
      </c>
      <c r="P743" s="128" t="str">
        <f ca="1">IF(J742&gt;=10,(MID(O743,1,1)&amp;MID(O743,2,4)+1),CELL("address",AG743))</f>
        <v>$AG$743</v>
      </c>
      <c r="Q743" s="128" t="str">
        <f ca="1">IF(J742&gt;=11,(MID(P743,1,1)&amp;MID(P743,2,4)+1),CELL("address",AH743))</f>
        <v>$AH$743</v>
      </c>
      <c r="R743" s="128" t="str">
        <f ca="1">IF(J742&gt;=12,(MID(Q743,1,1)&amp;MID(Q743,2,4)+1),CELL("address",AI743))</f>
        <v>$AI$743</v>
      </c>
    </row>
    <row r="744" spans="1:8" ht="15" customHeight="1">
      <c r="A744" s="275"/>
      <c r="B744" s="275"/>
      <c r="C744" s="274"/>
      <c r="D744" s="50" t="s">
        <v>31</v>
      </c>
      <c r="E744" s="83">
        <v>0.039</v>
      </c>
      <c r="F744" s="119"/>
      <c r="G744" s="135" t="str">
        <f>CONCATENATE(D744," - ",E744,", ")</f>
        <v>Misc. Alumn. Scrap - 0.039, </v>
      </c>
      <c r="H744" s="130"/>
    </row>
    <row r="745" spans="1:8" ht="15" customHeight="1">
      <c r="A745" s="1"/>
      <c r="B745" s="1"/>
      <c r="C745" s="1"/>
      <c r="D745" s="1"/>
      <c r="E745" s="1"/>
      <c r="F745" s="119"/>
      <c r="H745" s="130"/>
    </row>
    <row r="746" spans="1:8" ht="15" customHeight="1">
      <c r="A746" s="1"/>
      <c r="B746" s="1"/>
      <c r="C746" s="1"/>
      <c r="D746" s="1"/>
      <c r="E746" s="1"/>
      <c r="H746" s="130"/>
    </row>
    <row r="747" spans="1:8" ht="15" customHeight="1">
      <c r="A747" s="1"/>
      <c r="B747" s="1"/>
      <c r="C747" s="1"/>
      <c r="D747" s="1"/>
      <c r="E747" s="1"/>
      <c r="H747" s="130"/>
    </row>
    <row r="748" spans="1:8" ht="15" customHeight="1">
      <c r="A748" s="1"/>
      <c r="B748" s="1"/>
      <c r="C748" s="1"/>
      <c r="D748" s="1"/>
      <c r="E748" s="1"/>
      <c r="H748" s="130"/>
    </row>
    <row r="749" spans="1:8" ht="11.25" customHeight="1">
      <c r="A749" s="1"/>
      <c r="B749" s="1"/>
      <c r="C749" s="1"/>
      <c r="D749" s="1"/>
      <c r="E749" s="1"/>
      <c r="H749" s="130"/>
    </row>
    <row r="750" spans="1:8" ht="11.25" customHeight="1">
      <c r="A750" s="1"/>
      <c r="B750" s="1"/>
      <c r="C750" s="1"/>
      <c r="D750" s="1"/>
      <c r="E750" s="1"/>
      <c r="H750" s="130"/>
    </row>
    <row r="751" spans="1:8" ht="11.25" customHeight="1">
      <c r="A751" s="1"/>
      <c r="B751" s="1"/>
      <c r="C751" s="1"/>
      <c r="D751" s="1"/>
      <c r="E751" s="1"/>
      <c r="H751" s="130"/>
    </row>
    <row r="752" spans="1:8" ht="11.25" customHeight="1">
      <c r="A752" s="1"/>
      <c r="B752" s="1"/>
      <c r="C752" s="1"/>
      <c r="D752" s="1"/>
      <c r="E752" s="1"/>
      <c r="H752" s="130"/>
    </row>
    <row r="753" spans="1:8" ht="11.25" customHeight="1">
      <c r="A753" s="1"/>
      <c r="B753" s="1"/>
      <c r="C753" s="1"/>
      <c r="D753" s="1"/>
      <c r="E753" s="1"/>
      <c r="H753" s="130"/>
    </row>
    <row r="754" spans="1:8" ht="11.25" customHeight="1">
      <c r="A754" s="1"/>
      <c r="B754" s="1"/>
      <c r="C754" s="1"/>
      <c r="D754" s="1"/>
      <c r="E754" s="1"/>
      <c r="H754" s="130"/>
    </row>
    <row r="755" spans="1:8" ht="11.25" customHeight="1">
      <c r="A755" s="1"/>
      <c r="B755" s="1"/>
      <c r="C755" s="1"/>
      <c r="D755" s="1"/>
      <c r="E755" s="1"/>
      <c r="H755" s="130"/>
    </row>
    <row r="756" spans="1:8" ht="11.25" customHeight="1">
      <c r="A756" s="1"/>
      <c r="B756" s="1"/>
      <c r="C756" s="1"/>
      <c r="D756" s="1"/>
      <c r="E756" s="1"/>
      <c r="H756" s="130"/>
    </row>
    <row r="757" spans="1:8" ht="11.25" customHeight="1">
      <c r="A757" s="1"/>
      <c r="B757" s="1"/>
      <c r="C757" s="1"/>
      <c r="D757" s="1"/>
      <c r="E757" s="1"/>
      <c r="H757" s="130"/>
    </row>
    <row r="758" spans="1:8" ht="11.25" customHeight="1">
      <c r="A758" s="1"/>
      <c r="B758" s="1"/>
      <c r="C758" s="1"/>
      <c r="D758" s="1"/>
      <c r="E758" s="1"/>
      <c r="H758" s="130"/>
    </row>
    <row r="759" spans="1:8" ht="11.25" customHeight="1">
      <c r="A759" s="1"/>
      <c r="B759" s="1"/>
      <c r="C759" s="1"/>
      <c r="D759" s="1"/>
      <c r="E759" s="1"/>
      <c r="H759" s="130"/>
    </row>
    <row r="760" spans="1:8" ht="11.25" customHeight="1">
      <c r="A760" s="1"/>
      <c r="B760" s="1"/>
      <c r="C760" s="1"/>
      <c r="D760" s="1"/>
      <c r="E760" s="1"/>
      <c r="H760" s="130"/>
    </row>
    <row r="761" spans="1:8" ht="15" customHeight="1">
      <c r="A761" s="1"/>
      <c r="B761" s="1"/>
      <c r="C761" s="1"/>
      <c r="D761" s="1"/>
      <c r="E761" s="1"/>
      <c r="H761" s="130"/>
    </row>
    <row r="762" spans="1:8" ht="15" customHeight="1">
      <c r="A762" s="1"/>
      <c r="B762" s="1"/>
      <c r="C762" s="1"/>
      <c r="D762" s="1"/>
      <c r="E762" s="1"/>
      <c r="H762" s="130"/>
    </row>
    <row r="763" spans="1:8" ht="15" customHeight="1">
      <c r="A763" s="1"/>
      <c r="B763" s="1"/>
      <c r="C763" s="1"/>
      <c r="D763" s="1"/>
      <c r="E763" s="1"/>
      <c r="H763" s="130"/>
    </row>
    <row r="764" spans="1:8" ht="15" customHeight="1">
      <c r="A764" s="1"/>
      <c r="B764" s="1"/>
      <c r="C764" s="1"/>
      <c r="D764" s="1"/>
      <c r="E764" s="1"/>
      <c r="H764" s="130"/>
    </row>
    <row r="765" spans="1:8" ht="15" customHeight="1">
      <c r="A765" s="1"/>
      <c r="B765" s="1"/>
      <c r="C765" s="1"/>
      <c r="D765" s="1"/>
      <c r="E765" s="1"/>
      <c r="H765" s="130"/>
    </row>
    <row r="766" spans="1:8" ht="15" customHeight="1">
      <c r="A766" s="1"/>
      <c r="B766" s="1"/>
      <c r="C766" s="1"/>
      <c r="D766" s="1"/>
      <c r="E766" s="1"/>
      <c r="H766" s="130"/>
    </row>
    <row r="767" spans="1:8" ht="34.5" customHeight="1">
      <c r="A767" s="1"/>
      <c r="B767" s="1"/>
      <c r="C767" s="1"/>
      <c r="D767" s="1"/>
      <c r="E767" s="1"/>
      <c r="H767" s="130"/>
    </row>
    <row r="768" spans="1:8" ht="28.5" customHeight="1">
      <c r="A768" s="1"/>
      <c r="B768" s="1"/>
      <c r="C768" s="1"/>
      <c r="D768" s="1"/>
      <c r="E768" s="1"/>
      <c r="H768" s="130"/>
    </row>
    <row r="769" spans="1:8" ht="15" customHeight="1">
      <c r="A769" s="1"/>
      <c r="B769" s="1"/>
      <c r="C769" s="1"/>
      <c r="D769" s="1"/>
      <c r="E769" s="1"/>
      <c r="H769" s="130"/>
    </row>
    <row r="770" spans="1:8" ht="15" customHeight="1">
      <c r="A770" s="1"/>
      <c r="B770" s="1"/>
      <c r="C770" s="1"/>
      <c r="D770" s="1"/>
      <c r="E770" s="1"/>
      <c r="H770" s="130"/>
    </row>
    <row r="771" spans="1:8" ht="15" customHeight="1">
      <c r="A771" s="1"/>
      <c r="B771" s="1"/>
      <c r="C771" s="1"/>
      <c r="D771" s="1"/>
      <c r="E771" s="1"/>
      <c r="H771" s="130"/>
    </row>
    <row r="772" spans="1:8" ht="15" customHeight="1">
      <c r="A772" s="1"/>
      <c r="B772" s="1"/>
      <c r="C772" s="1"/>
      <c r="D772" s="1"/>
      <c r="E772" s="1"/>
      <c r="H772" s="130"/>
    </row>
    <row r="773" spans="1:8" ht="15" customHeight="1">
      <c r="A773" s="1"/>
      <c r="B773" s="1"/>
      <c r="C773" s="1"/>
      <c r="D773" s="1"/>
      <c r="E773" s="1"/>
      <c r="H773" s="130"/>
    </row>
    <row r="774" spans="1:8" ht="15" customHeight="1">
      <c r="A774" s="1"/>
      <c r="B774" s="1"/>
      <c r="C774" s="1"/>
      <c r="D774" s="1"/>
      <c r="E774" s="1"/>
      <c r="H774" s="130"/>
    </row>
    <row r="775" spans="1:8" ht="15" customHeight="1">
      <c r="A775" s="1"/>
      <c r="B775" s="1"/>
      <c r="C775" s="1"/>
      <c r="D775" s="1"/>
      <c r="E775" s="1"/>
      <c r="H775" s="130"/>
    </row>
    <row r="776" spans="1:8" ht="15" customHeight="1">
      <c r="A776" s="1"/>
      <c r="B776" s="1"/>
      <c r="C776" s="1"/>
      <c r="D776" s="1"/>
      <c r="E776" s="1"/>
      <c r="H776" s="130"/>
    </row>
    <row r="777" spans="1:8" ht="15" customHeight="1">
      <c r="A777" s="1"/>
      <c r="B777" s="1"/>
      <c r="C777" s="1"/>
      <c r="D777" s="1"/>
      <c r="E777" s="1"/>
      <c r="H777" s="130"/>
    </row>
    <row r="778" spans="1:8" ht="15" customHeight="1">
      <c r="A778" s="1"/>
      <c r="B778" s="1"/>
      <c r="C778" s="1"/>
      <c r="D778" s="1"/>
      <c r="E778" s="1"/>
      <c r="H778" s="130"/>
    </row>
    <row r="779" spans="1:8" ht="15" customHeight="1">
      <c r="A779" s="1"/>
      <c r="B779" s="1"/>
      <c r="C779" s="1"/>
      <c r="D779" s="1"/>
      <c r="E779" s="1"/>
      <c r="H779" s="130"/>
    </row>
    <row r="780" spans="1:8" ht="15" customHeight="1">
      <c r="A780" s="1"/>
      <c r="B780" s="1"/>
      <c r="C780" s="1"/>
      <c r="D780" s="1"/>
      <c r="E780" s="1"/>
      <c r="H780" s="130"/>
    </row>
    <row r="781" spans="1:8" ht="15" customHeight="1">
      <c r="A781" s="1"/>
      <c r="B781" s="1"/>
      <c r="C781" s="1"/>
      <c r="D781" s="1"/>
      <c r="E781" s="1"/>
      <c r="H781" s="130"/>
    </row>
    <row r="782" spans="1:8" ht="15" customHeight="1">
      <c r="A782" s="1"/>
      <c r="B782" s="1"/>
      <c r="C782" s="1"/>
      <c r="D782" s="1"/>
      <c r="E782" s="1"/>
      <c r="H782" s="130"/>
    </row>
    <row r="783" spans="1:8" ht="15" customHeight="1">
      <c r="A783" s="1"/>
      <c r="B783" s="1"/>
      <c r="C783" s="1"/>
      <c r="D783" s="1"/>
      <c r="E783" s="1"/>
      <c r="H783" s="130"/>
    </row>
    <row r="784" spans="1:5" ht="15" customHeight="1">
      <c r="A784" s="1"/>
      <c r="B784" s="1"/>
      <c r="C784" s="1"/>
      <c r="D784" s="1"/>
      <c r="E784" s="1"/>
    </row>
    <row r="785" spans="1:5" ht="15" customHeight="1">
      <c r="A785" s="1"/>
      <c r="B785" s="1"/>
      <c r="C785" s="1"/>
      <c r="D785" s="1"/>
      <c r="E785" s="1"/>
    </row>
    <row r="786" spans="1:5" ht="15" customHeight="1">
      <c r="A786" s="1"/>
      <c r="B786" s="1"/>
      <c r="C786" s="1"/>
      <c r="D786" s="1"/>
      <c r="E786" s="1"/>
    </row>
    <row r="787" spans="1:5" ht="15" customHeight="1">
      <c r="A787" s="1"/>
      <c r="B787" s="1"/>
      <c r="C787" s="1"/>
      <c r="D787" s="1"/>
      <c r="E787" s="1"/>
    </row>
    <row r="788" spans="1:5" ht="15" customHeight="1">
      <c r="A788" s="1"/>
      <c r="B788" s="1"/>
      <c r="C788" s="1"/>
      <c r="D788" s="1"/>
      <c r="E788" s="1"/>
    </row>
    <row r="789" spans="1:5" ht="15" customHeight="1">
      <c r="A789" s="1"/>
      <c r="B789" s="1"/>
      <c r="C789" s="1"/>
      <c r="D789" s="1"/>
      <c r="E789" s="1"/>
    </row>
    <row r="790" spans="1:5" ht="15" customHeight="1">
      <c r="A790" s="1"/>
      <c r="B790" s="1"/>
      <c r="C790" s="1"/>
      <c r="D790" s="1"/>
      <c r="E790" s="1"/>
    </row>
    <row r="791" spans="1:5" ht="15.75" customHeight="1">
      <c r="A791" s="1"/>
      <c r="B791" s="1"/>
      <c r="C791" s="1"/>
      <c r="D791" s="1"/>
      <c r="E791" s="1"/>
    </row>
    <row r="792" spans="1:5" ht="15.75" customHeight="1">
      <c r="A792" s="1"/>
      <c r="B792" s="1"/>
      <c r="C792" s="1"/>
      <c r="D792" s="1"/>
      <c r="E792" s="1"/>
    </row>
    <row r="793" spans="1:5" ht="15.75" customHeight="1">
      <c r="A793" s="1"/>
      <c r="B793" s="1"/>
      <c r="C793" s="1"/>
      <c r="D793" s="1"/>
      <c r="E793" s="1"/>
    </row>
    <row r="794" spans="1:5" ht="15" customHeight="1">
      <c r="A794" s="1"/>
      <c r="B794" s="1"/>
      <c r="C794" s="1"/>
      <c r="D794" s="1"/>
      <c r="E794" s="1"/>
    </row>
    <row r="795" spans="1:5" ht="15" customHeight="1">
      <c r="A795" s="1"/>
      <c r="B795" s="1"/>
      <c r="C795" s="1"/>
      <c r="D795" s="1"/>
      <c r="E795" s="1"/>
    </row>
    <row r="796" spans="1:5" ht="15" customHeight="1">
      <c r="A796" s="1"/>
      <c r="B796" s="1"/>
      <c r="C796" s="1"/>
      <c r="D796" s="1"/>
      <c r="E796" s="1"/>
    </row>
    <row r="797" spans="1:5" ht="15" customHeight="1">
      <c r="A797" s="1"/>
      <c r="B797" s="1"/>
      <c r="C797" s="1"/>
      <c r="D797" s="1"/>
      <c r="E797" s="1"/>
    </row>
    <row r="798" spans="1:5" ht="15" customHeight="1">
      <c r="A798" s="1"/>
      <c r="B798" s="1"/>
      <c r="C798" s="1"/>
      <c r="D798" s="1"/>
      <c r="E798" s="1"/>
    </row>
    <row r="799" spans="1:5" ht="15" customHeight="1">
      <c r="A799" s="1"/>
      <c r="B799" s="1"/>
      <c r="C799" s="1"/>
      <c r="D799" s="1"/>
      <c r="E799" s="1"/>
    </row>
    <row r="800" spans="1:5" ht="15" customHeight="1">
      <c r="A800" s="1"/>
      <c r="B800" s="1"/>
      <c r="C800" s="1"/>
      <c r="D800" s="1"/>
      <c r="E800" s="1"/>
    </row>
    <row r="801" spans="1:5" ht="15" customHeight="1">
      <c r="A801" s="1"/>
      <c r="B801" s="1"/>
      <c r="C801" s="1"/>
      <c r="D801" s="1"/>
      <c r="E801" s="1"/>
    </row>
    <row r="802" spans="1:5" ht="15" customHeight="1">
      <c r="A802" s="1"/>
      <c r="B802" s="1"/>
      <c r="C802" s="1"/>
      <c r="D802" s="1"/>
      <c r="E802" s="1"/>
    </row>
    <row r="803" spans="1:5" ht="15" customHeight="1">
      <c r="A803" s="1"/>
      <c r="B803" s="1"/>
      <c r="C803" s="1"/>
      <c r="D803" s="1"/>
      <c r="E803" s="1"/>
    </row>
    <row r="804" spans="1:5" ht="15" customHeight="1">
      <c r="A804" s="1"/>
      <c r="B804" s="1"/>
      <c r="C804" s="1"/>
      <c r="D804" s="1"/>
      <c r="E804" s="1"/>
    </row>
    <row r="805" spans="1:5" ht="15" customHeight="1">
      <c r="A805" s="1"/>
      <c r="B805" s="1"/>
      <c r="C805" s="1"/>
      <c r="D805" s="1"/>
      <c r="E805" s="1"/>
    </row>
    <row r="806" spans="1:5" ht="15" customHeight="1">
      <c r="A806" s="1"/>
      <c r="B806" s="1"/>
      <c r="C806" s="1"/>
      <c r="D806" s="1"/>
      <c r="E806" s="1"/>
    </row>
    <row r="807" spans="1:5" ht="15" customHeight="1">
      <c r="A807" s="1"/>
      <c r="B807" s="1"/>
      <c r="C807" s="1"/>
      <c r="D807" s="1"/>
      <c r="E807" s="1"/>
    </row>
    <row r="808" spans="1:5" ht="15" customHeight="1">
      <c r="A808" s="1"/>
      <c r="B808" s="1"/>
      <c r="C808" s="1"/>
      <c r="D808" s="1"/>
      <c r="E808" s="1"/>
    </row>
    <row r="809" spans="1:5" ht="15" customHeight="1">
      <c r="A809" s="1"/>
      <c r="B809" s="1"/>
      <c r="C809" s="1"/>
      <c r="D809" s="1"/>
      <c r="E809" s="1"/>
    </row>
    <row r="810" spans="1:5" ht="15" customHeight="1">
      <c r="A810" s="1"/>
      <c r="B810" s="1"/>
      <c r="C810" s="1"/>
      <c r="D810" s="1"/>
      <c r="E810" s="1"/>
    </row>
    <row r="811" spans="1:5" ht="15" customHeight="1">
      <c r="A811" s="1"/>
      <c r="B811" s="1"/>
      <c r="C811" s="1"/>
      <c r="D811" s="1"/>
      <c r="E811" s="1"/>
    </row>
    <row r="812" spans="1:5" ht="15" customHeight="1">
      <c r="A812" s="1"/>
      <c r="B812" s="1"/>
      <c r="C812" s="1"/>
      <c r="D812" s="1"/>
      <c r="E812" s="1"/>
    </row>
    <row r="813" spans="1:5" ht="15" customHeight="1">
      <c r="A813" s="1"/>
      <c r="B813" s="1"/>
      <c r="C813" s="1"/>
      <c r="D813" s="1"/>
      <c r="E813" s="1"/>
    </row>
    <row r="814" spans="1:5" ht="15" customHeight="1">
      <c r="A814" s="1"/>
      <c r="B814" s="1"/>
      <c r="C814" s="1"/>
      <c r="D814" s="1"/>
      <c r="E814" s="1"/>
    </row>
    <row r="815" spans="1:5" ht="15" customHeight="1">
      <c r="A815" s="1"/>
      <c r="B815" s="1"/>
      <c r="C815" s="1"/>
      <c r="D815" s="1"/>
      <c r="E815" s="1"/>
    </row>
    <row r="816" spans="1:5" ht="15" customHeight="1">
      <c r="A816" s="1"/>
      <c r="B816" s="1"/>
      <c r="C816" s="1"/>
      <c r="D816" s="1"/>
      <c r="E816" s="1"/>
    </row>
    <row r="817" spans="1:5" ht="15" customHeight="1">
      <c r="A817" s="1"/>
      <c r="B817" s="1"/>
      <c r="C817" s="1"/>
      <c r="D817" s="1"/>
      <c r="E817" s="1"/>
    </row>
    <row r="818" spans="1:5" ht="15" customHeight="1">
      <c r="A818" s="1"/>
      <c r="B818" s="1"/>
      <c r="C818" s="1"/>
      <c r="D818" s="1"/>
      <c r="E818" s="1"/>
    </row>
    <row r="819" spans="1:5" ht="13.5" customHeight="1">
      <c r="A819" s="1"/>
      <c r="B819" s="1"/>
      <c r="C819" s="1"/>
      <c r="D819" s="1"/>
      <c r="E819" s="1"/>
    </row>
    <row r="820" spans="1:5" ht="13.5" customHeight="1">
      <c r="A820" s="1"/>
      <c r="B820" s="1"/>
      <c r="C820" s="1"/>
      <c r="D820" s="1"/>
      <c r="E820" s="1"/>
    </row>
    <row r="821" spans="1:5" ht="15" customHeight="1">
      <c r="A821" s="1"/>
      <c r="B821" s="1"/>
      <c r="C821" s="1"/>
      <c r="D821" s="1"/>
      <c r="E821" s="1"/>
    </row>
    <row r="822" spans="1:5" ht="15" customHeight="1">
      <c r="A822" s="1"/>
      <c r="B822" s="1"/>
      <c r="C822" s="1"/>
      <c r="D822" s="1"/>
      <c r="E822" s="1"/>
    </row>
    <row r="823" spans="1:5" ht="15" customHeight="1">
      <c r="A823" s="1"/>
      <c r="B823" s="1"/>
      <c r="C823" s="1"/>
      <c r="D823" s="1"/>
      <c r="E823" s="1"/>
    </row>
    <row r="824" spans="1:5" ht="15" customHeight="1">
      <c r="A824" s="1"/>
      <c r="B824" s="1"/>
      <c r="C824" s="1"/>
      <c r="D824" s="1"/>
      <c r="E824" s="1"/>
    </row>
    <row r="825" spans="1:5" ht="15" customHeight="1">
      <c r="A825" s="1"/>
      <c r="B825" s="1"/>
      <c r="C825" s="1"/>
      <c r="D825" s="1"/>
      <c r="E825" s="1"/>
    </row>
    <row r="826" spans="1:5" ht="16.5" customHeight="1">
      <c r="A826" s="1"/>
      <c r="B826" s="1"/>
      <c r="C826" s="1"/>
      <c r="D826" s="1"/>
      <c r="E826" s="1"/>
    </row>
    <row r="827" spans="1:5" ht="16.5" customHeight="1">
      <c r="A827" s="1"/>
      <c r="B827" s="1"/>
      <c r="C827" s="1"/>
      <c r="D827" s="1"/>
      <c r="E827" s="1"/>
    </row>
    <row r="828" spans="1:5" ht="16.5" customHeight="1">
      <c r="A828" s="1"/>
      <c r="B828" s="1"/>
      <c r="C828" s="1"/>
      <c r="D828" s="1"/>
      <c r="E828" s="1"/>
    </row>
    <row r="829" spans="1:5" ht="16.5" customHeight="1">
      <c r="A829" s="1"/>
      <c r="B829" s="1"/>
      <c r="C829" s="1"/>
      <c r="D829" s="1"/>
      <c r="E829" s="1"/>
    </row>
    <row r="830" spans="1:5" ht="16.5" customHeight="1">
      <c r="A830" s="1"/>
      <c r="B830" s="1"/>
      <c r="C830" s="1"/>
      <c r="D830" s="1"/>
      <c r="E830" s="1"/>
    </row>
    <row r="831" spans="1:5" ht="16.5" customHeight="1">
      <c r="A831" s="1"/>
      <c r="B831" s="1"/>
      <c r="C831" s="1"/>
      <c r="D831" s="1"/>
      <c r="E831" s="1"/>
    </row>
    <row r="832" spans="1:5" ht="16.5" customHeight="1">
      <c r="A832" s="1"/>
      <c r="B832" s="1"/>
      <c r="C832" s="1"/>
      <c r="D832" s="1"/>
      <c r="E832" s="1"/>
    </row>
    <row r="833" spans="1:5" ht="15" customHeight="1">
      <c r="A833" s="1"/>
      <c r="B833" s="1"/>
      <c r="C833" s="1"/>
      <c r="D833" s="1"/>
      <c r="E833" s="1"/>
    </row>
    <row r="834" spans="1:5" ht="15" customHeight="1">
      <c r="A834" s="1"/>
      <c r="B834" s="1"/>
      <c r="C834" s="1"/>
      <c r="D834" s="1"/>
      <c r="E834" s="1"/>
    </row>
    <row r="835" spans="1:5" ht="15" customHeight="1">
      <c r="A835" s="1"/>
      <c r="B835" s="1"/>
      <c r="C835" s="1"/>
      <c r="D835" s="1"/>
      <c r="E835" s="1"/>
    </row>
    <row r="836" spans="1:5" ht="14.25" customHeight="1">
      <c r="A836" s="1"/>
      <c r="B836" s="1"/>
      <c r="C836" s="1"/>
      <c r="D836" s="1"/>
      <c r="E836" s="1"/>
    </row>
    <row r="837" spans="1:5" ht="14.25" customHeight="1">
      <c r="A837" s="1"/>
      <c r="B837" s="1"/>
      <c r="C837" s="1"/>
      <c r="D837" s="1"/>
      <c r="E837" s="1"/>
    </row>
    <row r="838" spans="1:5" ht="14.25" customHeight="1">
      <c r="A838" s="1"/>
      <c r="B838" s="1"/>
      <c r="C838" s="1"/>
      <c r="D838" s="1"/>
      <c r="E838" s="1"/>
    </row>
    <row r="839" spans="1:5" ht="14.25" customHeight="1">
      <c r="A839" s="1"/>
      <c r="B839" s="1"/>
      <c r="C839" s="1"/>
      <c r="D839" s="1"/>
      <c r="E839" s="1"/>
    </row>
    <row r="840" spans="1:5" ht="14.25" customHeight="1">
      <c r="A840" s="1"/>
      <c r="B840" s="1"/>
      <c r="C840" s="1"/>
      <c r="D840" s="1"/>
      <c r="E840" s="1"/>
    </row>
    <row r="841" spans="1:5" ht="14.25" customHeight="1">
      <c r="A841" s="1"/>
      <c r="B841" s="1"/>
      <c r="C841" s="1"/>
      <c r="D841" s="1"/>
      <c r="E841" s="1"/>
    </row>
    <row r="842" spans="1:5" ht="14.25" customHeight="1">
      <c r="A842" s="1"/>
      <c r="B842" s="1"/>
      <c r="C842" s="1"/>
      <c r="D842" s="1"/>
      <c r="E842" s="1"/>
    </row>
    <row r="843" spans="1:5" ht="14.25" customHeight="1">
      <c r="A843" s="1"/>
      <c r="B843" s="1"/>
      <c r="C843" s="1"/>
      <c r="D843" s="1"/>
      <c r="E843" s="1"/>
    </row>
    <row r="844" spans="1:5" ht="14.25" customHeight="1">
      <c r="A844" s="1"/>
      <c r="B844" s="1"/>
      <c r="C844" s="1"/>
      <c r="D844" s="1"/>
      <c r="E844" s="1"/>
    </row>
    <row r="845" spans="1:5" ht="14.25" customHeight="1">
      <c r="A845" s="1"/>
      <c r="B845" s="1"/>
      <c r="C845" s="1"/>
      <c r="D845" s="1"/>
      <c r="E845" s="1"/>
    </row>
    <row r="846" spans="1:5" ht="14.25" customHeight="1">
      <c r="A846" s="1"/>
      <c r="B846" s="1"/>
      <c r="C846" s="1"/>
      <c r="D846" s="1"/>
      <c r="E846" s="1"/>
    </row>
    <row r="847" spans="1:5" ht="14.25" customHeight="1">
      <c r="A847" s="1"/>
      <c r="B847" s="1"/>
      <c r="C847" s="1"/>
      <c r="D847" s="1"/>
      <c r="E847" s="1"/>
    </row>
    <row r="848" spans="1:5" ht="14.25" customHeight="1">
      <c r="A848" s="1"/>
      <c r="B848" s="1"/>
      <c r="C848" s="1"/>
      <c r="D848" s="1"/>
      <c r="E848" s="1"/>
    </row>
    <row r="849" spans="1:5" ht="14.25" customHeight="1">
      <c r="A849" s="1"/>
      <c r="B849" s="1"/>
      <c r="C849" s="1"/>
      <c r="D849" s="1"/>
      <c r="E849" s="1"/>
    </row>
    <row r="850" spans="1:5" ht="14.25" customHeight="1">
      <c r="A850" s="1"/>
      <c r="B850" s="1"/>
      <c r="C850" s="1"/>
      <c r="D850" s="1"/>
      <c r="E850" s="1"/>
    </row>
    <row r="851" spans="1:5" ht="14.25" customHeight="1">
      <c r="A851" s="1"/>
      <c r="B851" s="1"/>
      <c r="C851" s="1"/>
      <c r="D851" s="1"/>
      <c r="E851" s="1"/>
    </row>
    <row r="852" spans="1:5" ht="14.25" customHeight="1">
      <c r="A852" s="1"/>
      <c r="B852" s="1"/>
      <c r="C852" s="1"/>
      <c r="D852" s="1"/>
      <c r="E852" s="1"/>
    </row>
    <row r="853" spans="1:5" ht="14.25" customHeight="1">
      <c r="A853" s="1"/>
      <c r="B853" s="1"/>
      <c r="C853" s="1"/>
      <c r="D853" s="1"/>
      <c r="E853" s="1"/>
    </row>
    <row r="854" spans="1:5" ht="14.25" customHeight="1">
      <c r="A854" s="1"/>
      <c r="B854" s="1"/>
      <c r="C854" s="1"/>
      <c r="D854" s="1"/>
      <c r="E854" s="1"/>
    </row>
    <row r="855" spans="1:5" ht="14.25" customHeight="1">
      <c r="A855" s="1"/>
      <c r="B855" s="1"/>
      <c r="C855" s="1"/>
      <c r="D855" s="1"/>
      <c r="E855" s="1"/>
    </row>
    <row r="856" spans="1:5" ht="14.25" customHeight="1">
      <c r="A856" s="1"/>
      <c r="B856" s="1"/>
      <c r="C856" s="1"/>
      <c r="D856" s="1"/>
      <c r="E856" s="1"/>
    </row>
    <row r="857" spans="1:5" ht="14.25" customHeight="1">
      <c r="A857" s="1"/>
      <c r="B857" s="1"/>
      <c r="C857" s="1"/>
      <c r="D857" s="1"/>
      <c r="E857" s="1"/>
    </row>
    <row r="858" spans="1:5" ht="14.25" customHeight="1">
      <c r="A858" s="1"/>
      <c r="B858" s="1"/>
      <c r="C858" s="1"/>
      <c r="D858" s="1"/>
      <c r="E858" s="1"/>
    </row>
    <row r="859" spans="1:5" ht="14.25" customHeight="1">
      <c r="A859" s="1"/>
      <c r="B859" s="1"/>
      <c r="C859" s="1"/>
      <c r="D859" s="1"/>
      <c r="E859" s="1"/>
    </row>
    <row r="860" spans="1:5" ht="14.25" customHeight="1">
      <c r="A860" s="1"/>
      <c r="B860" s="1"/>
      <c r="C860" s="1"/>
      <c r="D860" s="1"/>
      <c r="E860" s="1"/>
    </row>
    <row r="861" spans="1:5" ht="14.25" customHeight="1">
      <c r="A861" s="1"/>
      <c r="B861" s="1"/>
      <c r="C861" s="1"/>
      <c r="D861" s="1"/>
      <c r="E861" s="1"/>
    </row>
    <row r="862" spans="1:5" ht="14.25" customHeight="1">
      <c r="A862" s="1"/>
      <c r="B862" s="1"/>
      <c r="C862" s="1"/>
      <c r="D862" s="1"/>
      <c r="E862" s="1"/>
    </row>
    <row r="863" spans="1:5" ht="14.25" customHeight="1">
      <c r="A863" s="1"/>
      <c r="B863" s="1"/>
      <c r="C863" s="1"/>
      <c r="D863" s="1"/>
      <c r="E863" s="1"/>
    </row>
    <row r="864" spans="1:5" ht="14.25" customHeight="1">
      <c r="A864" s="1"/>
      <c r="B864" s="1"/>
      <c r="C864" s="1"/>
      <c r="D864" s="1"/>
      <c r="E864" s="1"/>
    </row>
    <row r="865" spans="1:5" ht="14.25" customHeight="1">
      <c r="A865" s="1"/>
      <c r="B865" s="1"/>
      <c r="C865" s="1"/>
      <c r="D865" s="1"/>
      <c r="E865" s="1"/>
    </row>
    <row r="866" spans="1:5" ht="14.25" customHeight="1">
      <c r="A866" s="1"/>
      <c r="B866" s="1"/>
      <c r="C866" s="1"/>
      <c r="D866" s="1"/>
      <c r="E866" s="1"/>
    </row>
    <row r="867" spans="1:5" ht="14.25" customHeight="1">
      <c r="A867" s="1"/>
      <c r="B867" s="1"/>
      <c r="C867" s="1"/>
      <c r="D867" s="1"/>
      <c r="E867" s="1"/>
    </row>
    <row r="868" spans="1:5" ht="14.25" customHeight="1">
      <c r="A868" s="1"/>
      <c r="B868" s="1"/>
      <c r="C868" s="1"/>
      <c r="D868" s="1"/>
      <c r="E868" s="1"/>
    </row>
    <row r="869" spans="1:5" ht="14.25" customHeight="1">
      <c r="A869" s="1"/>
      <c r="B869" s="1"/>
      <c r="C869" s="1"/>
      <c r="D869" s="1"/>
      <c r="E869" s="1"/>
    </row>
    <row r="870" spans="1:5" ht="14.25" customHeight="1">
      <c r="A870" s="1"/>
      <c r="B870" s="1"/>
      <c r="C870" s="1"/>
      <c r="D870" s="1"/>
      <c r="E870" s="1"/>
    </row>
    <row r="871" spans="1:5" ht="14.25" customHeight="1">
      <c r="A871" s="1"/>
      <c r="B871" s="1"/>
      <c r="C871" s="1"/>
      <c r="D871" s="1"/>
      <c r="E871" s="1"/>
    </row>
    <row r="872" spans="1:5" ht="14.25" customHeight="1">
      <c r="A872" s="1"/>
      <c r="B872" s="1"/>
      <c r="C872" s="1"/>
      <c r="D872" s="1"/>
      <c r="E872" s="1"/>
    </row>
    <row r="873" spans="1:5" ht="14.25" customHeight="1">
      <c r="A873" s="1"/>
      <c r="B873" s="1"/>
      <c r="C873" s="1"/>
      <c r="D873" s="1"/>
      <c r="E873" s="1"/>
    </row>
    <row r="874" spans="1:5" ht="14.25" customHeight="1">
      <c r="A874" s="1"/>
      <c r="B874" s="1"/>
      <c r="C874" s="1"/>
      <c r="D874" s="1"/>
      <c r="E874" s="1"/>
    </row>
    <row r="875" spans="1:5" ht="14.25" customHeight="1">
      <c r="A875" s="1"/>
      <c r="B875" s="1"/>
      <c r="C875" s="1"/>
      <c r="D875" s="1"/>
      <c r="E875" s="1"/>
    </row>
    <row r="876" spans="1:5" ht="14.25" customHeight="1">
      <c r="A876" s="1"/>
      <c r="B876" s="1"/>
      <c r="C876" s="1"/>
      <c r="D876" s="1"/>
      <c r="E876" s="1"/>
    </row>
    <row r="877" spans="1:5" ht="14.25" customHeight="1">
      <c r="A877" s="1"/>
      <c r="B877" s="1"/>
      <c r="C877" s="1"/>
      <c r="D877" s="1"/>
      <c r="E877" s="1"/>
    </row>
    <row r="878" spans="1:5" ht="14.25" customHeight="1">
      <c r="A878" s="1"/>
      <c r="B878" s="1"/>
      <c r="C878" s="1"/>
      <c r="D878" s="1"/>
      <c r="E878" s="1"/>
    </row>
    <row r="879" spans="1:5" ht="14.25" customHeight="1">
      <c r="A879" s="1"/>
      <c r="B879" s="1"/>
      <c r="C879" s="1"/>
      <c r="D879" s="1"/>
      <c r="E879" s="1"/>
    </row>
    <row r="880" spans="1:5" ht="14.25" customHeight="1">
      <c r="A880" s="1"/>
      <c r="B880" s="1"/>
      <c r="C880" s="1"/>
      <c r="D880" s="1"/>
      <c r="E880" s="1"/>
    </row>
    <row r="881" spans="1:5" ht="14.25" customHeight="1">
      <c r="A881" s="1"/>
      <c r="B881" s="1"/>
      <c r="C881" s="1"/>
      <c r="D881" s="1"/>
      <c r="E881" s="1"/>
    </row>
    <row r="882" spans="1:5" ht="14.25" customHeight="1">
      <c r="A882" s="1"/>
      <c r="B882" s="1"/>
      <c r="C882" s="1"/>
      <c r="D882" s="1"/>
      <c r="E882" s="1"/>
    </row>
    <row r="883" spans="1:5" ht="14.25" customHeight="1">
      <c r="A883" s="1"/>
      <c r="B883" s="1"/>
      <c r="C883" s="1"/>
      <c r="D883" s="1"/>
      <c r="E883" s="1"/>
    </row>
    <row r="884" spans="1:5" ht="14.25" customHeight="1">
      <c r="A884" s="1"/>
      <c r="B884" s="1"/>
      <c r="C884" s="1"/>
      <c r="D884" s="1"/>
      <c r="E884" s="1"/>
    </row>
    <row r="885" spans="1:5" ht="14.25" customHeight="1">
      <c r="A885" s="1"/>
      <c r="B885" s="1"/>
      <c r="C885" s="1"/>
      <c r="D885" s="1"/>
      <c r="E885" s="1"/>
    </row>
    <row r="886" spans="1:5" ht="14.25" customHeight="1">
      <c r="A886" s="1"/>
      <c r="B886" s="1"/>
      <c r="C886" s="1"/>
      <c r="D886" s="1"/>
      <c r="E886" s="1"/>
    </row>
    <row r="887" spans="1:5" ht="14.25" customHeight="1">
      <c r="A887" s="1"/>
      <c r="B887" s="1"/>
      <c r="C887" s="1"/>
      <c r="D887" s="1"/>
      <c r="E887" s="1"/>
    </row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9.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</sheetData>
  <sheetProtection/>
  <mergeCells count="477">
    <mergeCell ref="C500:D500"/>
    <mergeCell ref="A723:B723"/>
    <mergeCell ref="A717:B717"/>
    <mergeCell ref="A716:B716"/>
    <mergeCell ref="A697:B697"/>
    <mergeCell ref="C699:C702"/>
    <mergeCell ref="A706:B710"/>
    <mergeCell ref="C706:C710"/>
    <mergeCell ref="A712:B712"/>
    <mergeCell ref="C718:C720"/>
    <mergeCell ref="A24:B24"/>
    <mergeCell ref="B311:C314"/>
    <mergeCell ref="A311:A314"/>
    <mergeCell ref="C448:C450"/>
    <mergeCell ref="A448:B450"/>
    <mergeCell ref="A261:C261"/>
    <mergeCell ref="A266:C266"/>
    <mergeCell ref="A304:A307"/>
    <mergeCell ref="B397:C397"/>
    <mergeCell ref="B384:C384"/>
    <mergeCell ref="C503:D503"/>
    <mergeCell ref="A205:C205"/>
    <mergeCell ref="A22:B22"/>
    <mergeCell ref="B537:C537"/>
    <mergeCell ref="C406:C407"/>
    <mergeCell ref="A239:C239"/>
    <mergeCell ref="A254:C254"/>
    <mergeCell ref="C29:D29"/>
    <mergeCell ref="A29:B29"/>
    <mergeCell ref="C460:C461"/>
    <mergeCell ref="C502:D502"/>
    <mergeCell ref="B398:C401"/>
    <mergeCell ref="C440:C444"/>
    <mergeCell ref="C507:D507"/>
    <mergeCell ref="A501:B501"/>
    <mergeCell ref="A475:B475"/>
    <mergeCell ref="A478:B478"/>
    <mergeCell ref="A434:B434"/>
    <mergeCell ref="A439:B439"/>
    <mergeCell ref="A507:B507"/>
    <mergeCell ref="A667:B667"/>
    <mergeCell ref="A666:B666"/>
    <mergeCell ref="A615:B615"/>
    <mergeCell ref="A631:B631"/>
    <mergeCell ref="A595:B598"/>
    <mergeCell ref="A604:B604"/>
    <mergeCell ref="A650:B651"/>
    <mergeCell ref="A649:B649"/>
    <mergeCell ref="A645:B646"/>
    <mergeCell ref="A629:B629"/>
    <mergeCell ref="C645:C646"/>
    <mergeCell ref="A632:B633"/>
    <mergeCell ref="C588:C591"/>
    <mergeCell ref="A582:B582"/>
    <mergeCell ref="C595:C598"/>
    <mergeCell ref="A594:B594"/>
    <mergeCell ref="A606:B606"/>
    <mergeCell ref="C583:C584"/>
    <mergeCell ref="A585:B585"/>
    <mergeCell ref="A601:B601"/>
    <mergeCell ref="H705:H706"/>
    <mergeCell ref="A704:B704"/>
    <mergeCell ref="A705:B705"/>
    <mergeCell ref="F687:G687"/>
    <mergeCell ref="A672:B672"/>
    <mergeCell ref="A671:B671"/>
    <mergeCell ref="A688:B688"/>
    <mergeCell ref="A685:B685"/>
    <mergeCell ref="A679:B679"/>
    <mergeCell ref="C693:C695"/>
    <mergeCell ref="A686:B686"/>
    <mergeCell ref="A676:B676"/>
    <mergeCell ref="A677:B677"/>
    <mergeCell ref="A680:B680"/>
    <mergeCell ref="A682:B682"/>
    <mergeCell ref="A683:B683"/>
    <mergeCell ref="A681:B681"/>
    <mergeCell ref="A693:B695"/>
    <mergeCell ref="H654:H655"/>
    <mergeCell ref="A673:B673"/>
    <mergeCell ref="A663:B664"/>
    <mergeCell ref="C663:C664"/>
    <mergeCell ref="A653:B653"/>
    <mergeCell ref="H662:H663"/>
    <mergeCell ref="A662:B662"/>
    <mergeCell ref="A661:B661"/>
    <mergeCell ref="C655:C659"/>
    <mergeCell ref="A655:B659"/>
    <mergeCell ref="H644:H645"/>
    <mergeCell ref="C668:C669"/>
    <mergeCell ref="A668:B669"/>
    <mergeCell ref="A654:B654"/>
    <mergeCell ref="H626:H627"/>
    <mergeCell ref="C650:C651"/>
    <mergeCell ref="A648:B648"/>
    <mergeCell ref="A626:B626"/>
    <mergeCell ref="A627:B628"/>
    <mergeCell ref="H649:H650"/>
    <mergeCell ref="H636:H637"/>
    <mergeCell ref="A605:B605"/>
    <mergeCell ref="A600:B600"/>
    <mergeCell ref="C632:C633"/>
    <mergeCell ref="H631:H632"/>
    <mergeCell ref="C627:C628"/>
    <mergeCell ref="H615:H616"/>
    <mergeCell ref="H609:H610"/>
    <mergeCell ref="A610:B612"/>
    <mergeCell ref="C508:D508"/>
    <mergeCell ref="C510:D510"/>
    <mergeCell ref="A559:B562"/>
    <mergeCell ref="A508:B508"/>
    <mergeCell ref="A499:B499"/>
    <mergeCell ref="C506:D506"/>
    <mergeCell ref="B528:C528"/>
    <mergeCell ref="B517:C517"/>
    <mergeCell ref="A543:E543"/>
    <mergeCell ref="A510:B510"/>
    <mergeCell ref="C509:D509"/>
    <mergeCell ref="A509:B509"/>
    <mergeCell ref="C566:C571"/>
    <mergeCell ref="B540:C540"/>
    <mergeCell ref="C559:C562"/>
    <mergeCell ref="B523:C523"/>
    <mergeCell ref="B519:C519"/>
    <mergeCell ref="A563:B563"/>
    <mergeCell ref="A564:B564"/>
    <mergeCell ref="B538:C538"/>
    <mergeCell ref="C411:C412"/>
    <mergeCell ref="A430:B430"/>
    <mergeCell ref="A391:A394"/>
    <mergeCell ref="A398:A401"/>
    <mergeCell ref="A424:B424"/>
    <mergeCell ref="A415:B415"/>
    <mergeCell ref="A429:B429"/>
    <mergeCell ref="A296:A300"/>
    <mergeCell ref="C37:D37"/>
    <mergeCell ref="B296:C300"/>
    <mergeCell ref="A289:A292"/>
    <mergeCell ref="C38:D38"/>
    <mergeCell ref="A209:C209"/>
    <mergeCell ref="A219:C219"/>
    <mergeCell ref="A135:E135"/>
    <mergeCell ref="A318:A321"/>
    <mergeCell ref="A172:C172"/>
    <mergeCell ref="A178:C178"/>
    <mergeCell ref="B310:C310"/>
    <mergeCell ref="A282:A285"/>
    <mergeCell ref="A217:E217"/>
    <mergeCell ref="B294:C294"/>
    <mergeCell ref="B287:C287"/>
    <mergeCell ref="B303:C303"/>
    <mergeCell ref="A224:C224"/>
    <mergeCell ref="A325:A329"/>
    <mergeCell ref="A361:A364"/>
    <mergeCell ref="B345:C345"/>
    <mergeCell ref="A354:A357"/>
    <mergeCell ref="A368:A374"/>
    <mergeCell ref="B383:C383"/>
    <mergeCell ref="B367:C367"/>
    <mergeCell ref="B360:C360"/>
    <mergeCell ref="A333:A335"/>
    <mergeCell ref="A232:C232"/>
    <mergeCell ref="B275:C278"/>
    <mergeCell ref="B286:C286"/>
    <mergeCell ref="A244:C244"/>
    <mergeCell ref="A251:C251"/>
    <mergeCell ref="A272:C272"/>
    <mergeCell ref="B282:C285"/>
    <mergeCell ref="A237:E237"/>
    <mergeCell ref="A259:E259"/>
    <mergeCell ref="A275:A278"/>
    <mergeCell ref="A124:C124"/>
    <mergeCell ref="A203:E203"/>
    <mergeCell ref="A163:C163"/>
    <mergeCell ref="A192:C192"/>
    <mergeCell ref="A143:E143"/>
    <mergeCell ref="A145:C145"/>
    <mergeCell ref="A150:C150"/>
    <mergeCell ref="A128:C128"/>
    <mergeCell ref="A170:E170"/>
    <mergeCell ref="A190:E190"/>
    <mergeCell ref="A95:C95"/>
    <mergeCell ref="A69:C69"/>
    <mergeCell ref="A72:C72"/>
    <mergeCell ref="C42:D42"/>
    <mergeCell ref="A107:E107"/>
    <mergeCell ref="A93:E93"/>
    <mergeCell ref="A67:E67"/>
    <mergeCell ref="A47:E47"/>
    <mergeCell ref="A44:B44"/>
    <mergeCell ref="A38:B38"/>
    <mergeCell ref="A48:E48"/>
    <mergeCell ref="A35:B35"/>
    <mergeCell ref="C39:D39"/>
    <mergeCell ref="A40:B40"/>
    <mergeCell ref="C41:D41"/>
    <mergeCell ref="A42:B42"/>
    <mergeCell ref="A43:B43"/>
    <mergeCell ref="A46:E46"/>
    <mergeCell ref="D31:E31"/>
    <mergeCell ref="A18:B18"/>
    <mergeCell ref="C19:D19"/>
    <mergeCell ref="A19:B19"/>
    <mergeCell ref="C25:D25"/>
    <mergeCell ref="C20:D20"/>
    <mergeCell ref="C18:D18"/>
    <mergeCell ref="A20:B20"/>
    <mergeCell ref="C21:D21"/>
    <mergeCell ref="C24:D24"/>
    <mergeCell ref="A21:B21"/>
    <mergeCell ref="A11:B11"/>
    <mergeCell ref="A13:B13"/>
    <mergeCell ref="C15:D15"/>
    <mergeCell ref="A15:B15"/>
    <mergeCell ref="C16:D16"/>
    <mergeCell ref="A17:B17"/>
    <mergeCell ref="C12:D12"/>
    <mergeCell ref="C10:D10"/>
    <mergeCell ref="A25:B25"/>
    <mergeCell ref="A12:B12"/>
    <mergeCell ref="A14:B14"/>
    <mergeCell ref="C14:D14"/>
    <mergeCell ref="A16:B16"/>
    <mergeCell ref="C23:D23"/>
    <mergeCell ref="A10:B10"/>
    <mergeCell ref="C17:D17"/>
    <mergeCell ref="C13:D13"/>
    <mergeCell ref="A33:B33"/>
    <mergeCell ref="C33:D33"/>
    <mergeCell ref="C34:D34"/>
    <mergeCell ref="A39:B39"/>
    <mergeCell ref="A36:B36"/>
    <mergeCell ref="C43:D43"/>
    <mergeCell ref="A37:B37"/>
    <mergeCell ref="A41:B41"/>
    <mergeCell ref="C40:D40"/>
    <mergeCell ref="A34:B34"/>
    <mergeCell ref="A7:B7"/>
    <mergeCell ref="C11:D11"/>
    <mergeCell ref="C22:D22"/>
    <mergeCell ref="A513:E513"/>
    <mergeCell ref="A45:B45"/>
    <mergeCell ref="A32:D32"/>
    <mergeCell ref="A339:A342"/>
    <mergeCell ref="C35:D35"/>
    <mergeCell ref="B361:C364"/>
    <mergeCell ref="A410:B410"/>
    <mergeCell ref="C7:D7"/>
    <mergeCell ref="C6:D6"/>
    <mergeCell ref="A6:B6"/>
    <mergeCell ref="A9:B9"/>
    <mergeCell ref="C9:D9"/>
    <mergeCell ref="A1:E1"/>
    <mergeCell ref="A2:C2"/>
    <mergeCell ref="A4:E4"/>
    <mergeCell ref="A3:C3"/>
    <mergeCell ref="A5:D5"/>
    <mergeCell ref="A8:B8"/>
    <mergeCell ref="C8:D8"/>
    <mergeCell ref="A433:B433"/>
    <mergeCell ref="A83:C83"/>
    <mergeCell ref="C36:D36"/>
    <mergeCell ref="A505:B505"/>
    <mergeCell ref="A411:B412"/>
    <mergeCell ref="A420:B421"/>
    <mergeCell ref="A419:B419"/>
    <mergeCell ref="C505:D505"/>
    <mergeCell ref="B516:C516"/>
    <mergeCell ref="B535:C535"/>
    <mergeCell ref="B522:C522"/>
    <mergeCell ref="A554:E554"/>
    <mergeCell ref="A565:B565"/>
    <mergeCell ref="B520:C520"/>
    <mergeCell ref="B525:C525"/>
    <mergeCell ref="A643:B643"/>
    <mergeCell ref="A553:E553"/>
    <mergeCell ref="A644:B644"/>
    <mergeCell ref="A636:B636"/>
    <mergeCell ref="A630:B630"/>
    <mergeCell ref="A593:B593"/>
    <mergeCell ref="A566:B571"/>
    <mergeCell ref="A635:B635"/>
    <mergeCell ref="A614:B614"/>
    <mergeCell ref="A558:B558"/>
    <mergeCell ref="A634:B634"/>
    <mergeCell ref="A587:B587"/>
    <mergeCell ref="A573:B573"/>
    <mergeCell ref="A575:B579"/>
    <mergeCell ref="A609:B609"/>
    <mergeCell ref="A602:B602"/>
    <mergeCell ref="A588:B591"/>
    <mergeCell ref="A583:B584"/>
    <mergeCell ref="A586:B586"/>
    <mergeCell ref="A581:B581"/>
    <mergeCell ref="C575:C579"/>
    <mergeCell ref="A556:E556"/>
    <mergeCell ref="A547:E547"/>
    <mergeCell ref="B529:C529"/>
    <mergeCell ref="A515:E515"/>
    <mergeCell ref="A613:B613"/>
    <mergeCell ref="C610:C612"/>
    <mergeCell ref="A545:E545"/>
    <mergeCell ref="B541:C541"/>
    <mergeCell ref="B532:C532"/>
    <mergeCell ref="C504:D504"/>
    <mergeCell ref="A504:B504"/>
    <mergeCell ref="A502:B502"/>
    <mergeCell ref="A431:B432"/>
    <mergeCell ref="A495:B495"/>
    <mergeCell ref="H601:H602"/>
    <mergeCell ref="B534:C534"/>
    <mergeCell ref="A574:B574"/>
    <mergeCell ref="H495:H496"/>
    <mergeCell ref="H474:H475"/>
    <mergeCell ref="H594:H595"/>
    <mergeCell ref="H447:H448"/>
    <mergeCell ref="H587:H588"/>
    <mergeCell ref="H574:H575"/>
    <mergeCell ref="H470:H471"/>
    <mergeCell ref="H453:H454"/>
    <mergeCell ref="H558:H559"/>
    <mergeCell ref="H582:H583"/>
    <mergeCell ref="H459:H460"/>
    <mergeCell ref="H464:H465"/>
    <mergeCell ref="A506:B506"/>
    <mergeCell ref="A503:B503"/>
    <mergeCell ref="C501:D501"/>
    <mergeCell ref="A470:B470"/>
    <mergeCell ref="T562:W562"/>
    <mergeCell ref="T432:X433"/>
    <mergeCell ref="H435:H436"/>
    <mergeCell ref="A511:B511"/>
    <mergeCell ref="A447:B447"/>
    <mergeCell ref="A436:B436"/>
    <mergeCell ref="H410:H411"/>
    <mergeCell ref="H405:H406"/>
    <mergeCell ref="H390:H391"/>
    <mergeCell ref="A405:B405"/>
    <mergeCell ref="H605:H606"/>
    <mergeCell ref="H565:H566"/>
    <mergeCell ref="H439:H440"/>
    <mergeCell ref="H430:H431"/>
    <mergeCell ref="B526:C526"/>
    <mergeCell ref="H424:H425"/>
    <mergeCell ref="H415:H416"/>
    <mergeCell ref="B391:C394"/>
    <mergeCell ref="H397:H398"/>
    <mergeCell ref="H377:H378"/>
    <mergeCell ref="B390:C390"/>
    <mergeCell ref="H419:H420"/>
    <mergeCell ref="A406:B407"/>
    <mergeCell ref="A378:A381"/>
    <mergeCell ref="A385:A387"/>
    <mergeCell ref="C420:C421"/>
    <mergeCell ref="H353:H354"/>
    <mergeCell ref="H384:H385"/>
    <mergeCell ref="B385:C387"/>
    <mergeCell ref="H367:H368"/>
    <mergeCell ref="B368:C374"/>
    <mergeCell ref="B353:C353"/>
    <mergeCell ref="B378:C381"/>
    <mergeCell ref="B377:C377"/>
    <mergeCell ref="H360:H361"/>
    <mergeCell ref="H338:H339"/>
    <mergeCell ref="H345:H346"/>
    <mergeCell ref="B318:C321"/>
    <mergeCell ref="B317:C317"/>
    <mergeCell ref="B324:C324"/>
    <mergeCell ref="B339:C342"/>
    <mergeCell ref="B338:C338"/>
    <mergeCell ref="B332:C332"/>
    <mergeCell ref="B346:C350"/>
    <mergeCell ref="H310:H311"/>
    <mergeCell ref="B288:C288"/>
    <mergeCell ref="H295:H296"/>
    <mergeCell ref="H303:H304"/>
    <mergeCell ref="H288:H289"/>
    <mergeCell ref="H332:H333"/>
    <mergeCell ref="H324:H325"/>
    <mergeCell ref="H317:H318"/>
    <mergeCell ref="B325:C329"/>
    <mergeCell ref="B304:C307"/>
    <mergeCell ref="C44:D44"/>
    <mergeCell ref="A87:C87"/>
    <mergeCell ref="A483:B483"/>
    <mergeCell ref="A484:B484"/>
    <mergeCell ref="A122:E122"/>
    <mergeCell ref="A471:B471"/>
    <mergeCell ref="A50:E50"/>
    <mergeCell ref="A52:C52"/>
    <mergeCell ref="C45:D45"/>
    <mergeCell ref="A109:C109"/>
    <mergeCell ref="A487:B487"/>
    <mergeCell ref="A488:B488"/>
    <mergeCell ref="B333:C335"/>
    <mergeCell ref="B354:C357"/>
    <mergeCell ref="A416:B416"/>
    <mergeCell ref="A425:B427"/>
    <mergeCell ref="A435:B435"/>
    <mergeCell ref="A440:B444"/>
    <mergeCell ref="C431:C432"/>
    <mergeCell ref="C425:C427"/>
    <mergeCell ref="H281:H282"/>
    <mergeCell ref="B289:C292"/>
    <mergeCell ref="H274:H275"/>
    <mergeCell ref="B281:C281"/>
    <mergeCell ref="B295:C295"/>
    <mergeCell ref="B274:C274"/>
    <mergeCell ref="B280:C280"/>
    <mergeCell ref="A674:B674"/>
    <mergeCell ref="A500:B500"/>
    <mergeCell ref="A459:B459"/>
    <mergeCell ref="A460:B461"/>
    <mergeCell ref="A498:E498"/>
    <mergeCell ref="A464:B464"/>
    <mergeCell ref="C465:C467"/>
    <mergeCell ref="C479:C480"/>
    <mergeCell ref="A479:B480"/>
    <mergeCell ref="A496:B496"/>
    <mergeCell ref="C728:C731"/>
    <mergeCell ref="A728:B731"/>
    <mergeCell ref="C637:C641"/>
    <mergeCell ref="A637:B641"/>
    <mergeCell ref="A675:B675"/>
    <mergeCell ref="A678:B678"/>
    <mergeCell ref="A689:B689"/>
    <mergeCell ref="A687:B687"/>
    <mergeCell ref="A684:B684"/>
    <mergeCell ref="A727:B727"/>
    <mergeCell ref="A698:B698"/>
    <mergeCell ref="A696:B696"/>
    <mergeCell ref="A713:B713"/>
    <mergeCell ref="A714:B714"/>
    <mergeCell ref="A724:B724"/>
    <mergeCell ref="A718:B720"/>
    <mergeCell ref="A722:B722"/>
    <mergeCell ref="A699:B702"/>
    <mergeCell ref="A23:B23"/>
    <mergeCell ref="A453:B453"/>
    <mergeCell ref="A454:B456"/>
    <mergeCell ref="C454:C456"/>
    <mergeCell ref="A691:B691"/>
    <mergeCell ref="A114:C114"/>
    <mergeCell ref="A196:C196"/>
    <mergeCell ref="A157:E157"/>
    <mergeCell ref="A159:C159"/>
    <mergeCell ref="A27:D27"/>
    <mergeCell ref="A743:B744"/>
    <mergeCell ref="C743:C744"/>
    <mergeCell ref="C735:C739"/>
    <mergeCell ref="A735:B739"/>
    <mergeCell ref="A692:B692"/>
    <mergeCell ref="A733:B733"/>
    <mergeCell ref="A734:B734"/>
    <mergeCell ref="A741:B741"/>
    <mergeCell ref="A742:B742"/>
    <mergeCell ref="A726:B726"/>
    <mergeCell ref="A28:B28"/>
    <mergeCell ref="C28:D28"/>
    <mergeCell ref="A30:B30"/>
    <mergeCell ref="C30:D30"/>
    <mergeCell ref="A474:B474"/>
    <mergeCell ref="A81:E81"/>
    <mergeCell ref="A99:C99"/>
    <mergeCell ref="A137:C137"/>
    <mergeCell ref="A465:B467"/>
    <mergeCell ref="A346:A350"/>
    <mergeCell ref="H478:H479"/>
    <mergeCell ref="H483:H484"/>
    <mergeCell ref="H487:H488"/>
    <mergeCell ref="H491:H492"/>
    <mergeCell ref="C616:C623"/>
    <mergeCell ref="A616:B623"/>
    <mergeCell ref="A491:B491"/>
    <mergeCell ref="A492:B492"/>
    <mergeCell ref="B531:C531"/>
    <mergeCell ref="C499:D499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5" r:id="rId1"/>
  <headerFooter alignWithMargins="0">
    <oddHeader>&amp;R&amp;P</oddHeader>
    <oddFooter>&amp;L&amp;14A.O. / Disposal&amp;C&amp;14Sr.XEN. / Disposal&amp;R&amp;14COS and D ( South), PTA</oddFooter>
  </headerFooter>
  <rowBreaks count="10" manualBreakCount="10">
    <brk id="65" max="4" man="1"/>
    <brk id="127" max="4" man="1"/>
    <brk id="188" max="4" man="1"/>
    <brk id="253" max="4" man="1"/>
    <brk id="329" max="4" man="1"/>
    <brk id="412" max="4" man="1"/>
    <brk id="492" max="4" man="1"/>
    <brk id="562" max="4" man="1"/>
    <brk id="641" max="4" man="1"/>
    <brk id="7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23.140625" style="0" customWidth="1"/>
    <col min="2" max="2" width="69.8515625" style="29" customWidth="1"/>
    <col min="3" max="3" width="24.8515625" style="0" customWidth="1"/>
    <col min="4" max="4" width="9.140625" style="0" hidden="1" customWidth="1"/>
    <col min="5" max="5" width="119.7109375" style="0" customWidth="1"/>
  </cols>
  <sheetData>
    <row r="1" spans="1:3" ht="18">
      <c r="A1" s="370" t="s">
        <v>85</v>
      </c>
      <c r="B1" s="370"/>
      <c r="C1" s="370"/>
    </row>
    <row r="2" spans="1:2" ht="12.75">
      <c r="A2" s="34" t="str">
        <f>scrap!A2</f>
        <v>E - Auction Notice No. -</v>
      </c>
      <c r="B2" s="33" t="str">
        <f>scrap!D2</f>
        <v>EA-60 /PTA-2023-24</v>
      </c>
    </row>
    <row r="3" spans="1:2" ht="12.75">
      <c r="A3" s="34" t="str">
        <f>scrap!A3</f>
        <v>Date of Auction -</v>
      </c>
      <c r="B3" s="33" t="str">
        <f>scrap!D3</f>
        <v>27.12.2023</v>
      </c>
    </row>
    <row r="4" spans="1:2" ht="12.75">
      <c r="A4" s="34"/>
      <c r="B4" s="33"/>
    </row>
    <row r="5" spans="1:3" s="30" customFormat="1" ht="20.25" customHeight="1">
      <c r="A5" s="96" t="s">
        <v>5</v>
      </c>
      <c r="B5" s="258" t="s">
        <v>82</v>
      </c>
      <c r="C5" s="257" t="s">
        <v>83</v>
      </c>
    </row>
    <row r="6" spans="1:5" s="30" customFormat="1" ht="20.25" customHeight="1">
      <c r="A6" s="107" t="s">
        <v>279</v>
      </c>
      <c r="B6" s="142" t="s">
        <v>162</v>
      </c>
      <c r="C6" s="51">
        <v>228</v>
      </c>
      <c r="E6" s="139" t="str">
        <f aca="true" t="shared" si="0" ref="E6:E11">CONCATENATE("E-Waste Scrap (Meter scrap), Lying at ",B6,". Quantity in Kg - ",C6,)</f>
        <v>E-Waste Scrap (Meter scrap), Lying at ME LAB PATIALA (Crushed Meter Scrap/E-Waste). Quantity in Kg - 228</v>
      </c>
    </row>
    <row r="7" spans="1:5" s="30" customFormat="1" ht="20.25" customHeight="1">
      <c r="A7" s="107" t="s">
        <v>280</v>
      </c>
      <c r="B7" s="142" t="s">
        <v>154</v>
      </c>
      <c r="C7" s="51">
        <v>310</v>
      </c>
      <c r="E7" s="139" t="str">
        <f t="shared" si="0"/>
        <v>E-Waste Scrap (Meter scrap), Lying at ME LAB SANGRUR (Crushed Meter Scrap/E-Waste). Quantity in Kg - 310</v>
      </c>
    </row>
    <row r="8" spans="1:5" s="30" customFormat="1" ht="20.25" customHeight="1">
      <c r="A8" s="107" t="s">
        <v>281</v>
      </c>
      <c r="B8" s="142" t="s">
        <v>155</v>
      </c>
      <c r="C8" s="51">
        <v>127</v>
      </c>
      <c r="D8" s="30">
        <v>55</v>
      </c>
      <c r="E8" s="139" t="str">
        <f t="shared" si="0"/>
        <v>E-Waste Scrap (Meter scrap), Lying at ME LAB ROPAR (Crushed Meter Scrap/E-Waste). Quantity in Kg - 127</v>
      </c>
    </row>
    <row r="9" spans="1:5" s="30" customFormat="1" ht="20.25" customHeight="1">
      <c r="A9" s="107" t="s">
        <v>282</v>
      </c>
      <c r="B9" s="142" t="s">
        <v>277</v>
      </c>
      <c r="C9" s="51">
        <v>625.39</v>
      </c>
      <c r="E9" s="139" t="str">
        <f t="shared" si="0"/>
        <v>E-Waste Scrap (Meter scrap), Lying at ME LAB MOGA (Crushed Meter Scrap/E-Waste). Quantity in Kg - 625.39</v>
      </c>
    </row>
    <row r="10" spans="1:5" s="30" customFormat="1" ht="20.25" customHeight="1">
      <c r="A10" s="107" t="s">
        <v>283</v>
      </c>
      <c r="B10" s="142" t="s">
        <v>278</v>
      </c>
      <c r="C10" s="51">
        <v>1364.12</v>
      </c>
      <c r="E10" s="139" t="str">
        <f t="shared" si="0"/>
        <v>E-Waste Scrap (Meter scrap), Lying at ME LAB SHRI MUKTSAR SAHIB (Crushed Meter Scrap/E-Waste). Quantity in Kg - 1364.12</v>
      </c>
    </row>
    <row r="11" spans="1:5" s="30" customFormat="1" ht="20.25" customHeight="1">
      <c r="A11" s="107" t="s">
        <v>341</v>
      </c>
      <c r="B11" s="144" t="s">
        <v>340</v>
      </c>
      <c r="C11" s="90">
        <v>1719.865</v>
      </c>
      <c r="D11" s="196"/>
      <c r="E11" s="139" t="str">
        <f t="shared" si="0"/>
        <v>E-Waste Scrap (Meter scrap), Lying at ME LAB SHRI MUKSAR SAHIB  (Electronic Meter Scrap/E-Waste )  . Quantity in Kg - 1719.865</v>
      </c>
    </row>
    <row r="12" spans="1:5" s="30" customFormat="1" ht="20.25" customHeight="1">
      <c r="A12" s="234"/>
      <c r="B12" s="104"/>
      <c r="C12" s="235"/>
      <c r="D12" s="236"/>
      <c r="E12" s="237"/>
    </row>
    <row r="13" spans="1:5" s="30" customFormat="1" ht="37.5" customHeight="1">
      <c r="A13" s="371" t="s">
        <v>403</v>
      </c>
      <c r="B13" s="371"/>
      <c r="C13" s="371"/>
      <c r="D13" s="238"/>
      <c r="E13" s="238"/>
    </row>
    <row r="14" spans="1:5" s="30" customFormat="1" ht="20.25" customHeight="1">
      <c r="A14" s="371"/>
      <c r="B14" s="371"/>
      <c r="C14" s="371"/>
      <c r="D14" s="239"/>
      <c r="E14" s="239"/>
    </row>
    <row r="15" spans="1:5" s="30" customFormat="1" ht="39.75" customHeight="1">
      <c r="A15" s="371"/>
      <c r="B15" s="371"/>
      <c r="C15" s="371"/>
      <c r="D15" s="236"/>
      <c r="E15" s="237"/>
    </row>
    <row r="16" spans="1:5" s="30" customFormat="1" ht="15" customHeight="1">
      <c r="A16" s="240"/>
      <c r="B16" s="256" t="s">
        <v>218</v>
      </c>
      <c r="C16" s="257" t="s">
        <v>402</v>
      </c>
      <c r="D16" s="236"/>
      <c r="E16" s="237"/>
    </row>
    <row r="17" spans="1:5" s="30" customFormat="1" ht="20.25" customHeight="1">
      <c r="A17" s="107" t="s">
        <v>455</v>
      </c>
      <c r="B17" s="144" t="s">
        <v>400</v>
      </c>
      <c r="C17" s="252">
        <v>1</v>
      </c>
      <c r="D17" s="236"/>
      <c r="E17" s="139" t="str">
        <f>CONCATENATE("E-Waste Scrap (U/S AC WINDOW), Lying at ",B17,". Quantity in No - ",C17,)</f>
        <v>E-Waste Scrap (U/S AC WINDOW), Lying at CS SANGRUR (U/S AC WINDOW). Quantity in No - 1</v>
      </c>
    </row>
    <row r="18" spans="1:5" s="30" customFormat="1" ht="20.25" customHeight="1">
      <c r="A18" s="107" t="s">
        <v>456</v>
      </c>
      <c r="B18" s="144" t="s">
        <v>401</v>
      </c>
      <c r="C18" s="252">
        <v>14</v>
      </c>
      <c r="D18" s="236"/>
      <c r="E18" s="139" t="str">
        <f>CONCATENATE("E-Waste Scrap (U/S AC WINDOW), Lying at ",B18,". Quantity in No - ",C18,)</f>
        <v>E-Waste Scrap (U/S AC WINDOW), Lying at CS PATIALA  (U/S AC WINDOW). Quantity in No - 14</v>
      </c>
    </row>
    <row r="19" spans="1:5" s="30" customFormat="1" ht="20.25" customHeight="1">
      <c r="A19" s="107" t="s">
        <v>457</v>
      </c>
      <c r="B19" s="144" t="s">
        <v>413</v>
      </c>
      <c r="C19" s="252">
        <v>18</v>
      </c>
      <c r="D19" s="236"/>
      <c r="E19" s="139" t="str">
        <f>CONCATENATE("E-Waste Scrap (U/S STABLIZERS), Lying at ",B19,". Quantity in No - ",C19,)</f>
        <v>E-Waste Scrap (U/S STABLIZERS), Lying at CS PATIALA  (U/S STABLIZERS). Quantity in No - 18</v>
      </c>
    </row>
    <row r="20" spans="1:5" s="30" customFormat="1" ht="20.25" customHeight="1">
      <c r="A20" s="234"/>
      <c r="B20" s="272"/>
      <c r="C20" s="271"/>
      <c r="D20" s="236"/>
      <c r="E20" s="237"/>
    </row>
    <row r="21" spans="1:3" s="30" customFormat="1" ht="15" customHeight="1">
      <c r="A21" s="41"/>
      <c r="B21" s="42"/>
      <c r="C21" s="104"/>
    </row>
    <row r="22" spans="1:3" s="30" customFormat="1" ht="15.75">
      <c r="A22" s="35" t="s">
        <v>84</v>
      </c>
      <c r="B22" s="36" t="s">
        <v>88</v>
      </c>
      <c r="C22" s="37" t="s">
        <v>87</v>
      </c>
    </row>
    <row r="23" spans="1:3" s="30" customFormat="1" ht="15.75">
      <c r="A23" s="35" t="s">
        <v>86</v>
      </c>
      <c r="B23" s="35" t="s">
        <v>86</v>
      </c>
      <c r="C23" s="35" t="s">
        <v>86</v>
      </c>
    </row>
    <row r="24" spans="1:3" s="30" customFormat="1" ht="15">
      <c r="A24" s="31"/>
      <c r="B24" s="32"/>
      <c r="C24" s="31"/>
    </row>
    <row r="25" ht="12.75">
      <c r="C25">
        <f>19170/C19</f>
        <v>1065</v>
      </c>
    </row>
  </sheetData>
  <sheetProtection/>
  <mergeCells count="2">
    <mergeCell ref="A1:C1"/>
    <mergeCell ref="A13:C1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Administrator</cp:lastModifiedBy>
  <cp:lastPrinted>2023-12-22T09:55:28Z</cp:lastPrinted>
  <dcterms:created xsi:type="dcterms:W3CDTF">1996-10-14T23:33:28Z</dcterms:created>
  <dcterms:modified xsi:type="dcterms:W3CDTF">2023-12-22T10:17:34Z</dcterms:modified>
  <cp:category/>
  <cp:version/>
  <cp:contentType/>
  <cp:contentStatus/>
</cp:coreProperties>
</file>