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9200" windowHeight="6180" tabRatio="923" activeTab="0"/>
  </bookViews>
  <sheets>
    <sheet name="scrap" sheetId="1" r:id="rId1"/>
    <sheet name="E-WASTE" sheetId="2" r:id="rId2"/>
  </sheets>
  <definedNames>
    <definedName name="_xlnm.Print_Area" localSheetId="1">'E-WASTE'!$A$1:$C$29</definedName>
    <definedName name="_xlnm.Print_Area" localSheetId="0">'scrap'!$A$1:$E$1236</definedName>
  </definedNames>
  <calcPr fullCalcOnLoad="1"/>
</workbook>
</file>

<file path=xl/sharedStrings.xml><?xml version="1.0" encoding="utf-8"?>
<sst xmlns="http://schemas.openxmlformats.org/spreadsheetml/2006/main" count="1979" uniqueCount="697">
  <si>
    <t>A - Aluminium Conductor Steel Reinforced Scrap</t>
  </si>
  <si>
    <t>Registration no. of Vehicle</t>
  </si>
  <si>
    <t>Type of vehicle/ Model</t>
  </si>
  <si>
    <t>Present Location of vehicle</t>
  </si>
  <si>
    <t>Name of the office to which it relates/ Phone no. of the person to be contacted.</t>
  </si>
  <si>
    <t>Lot No.</t>
  </si>
  <si>
    <t>Name of Store where material is lying</t>
  </si>
  <si>
    <t>Quantity in MT</t>
  </si>
  <si>
    <t>I) Misc. items scrap lying as per detail given:-</t>
  </si>
  <si>
    <t>E - Auction Notice No. -</t>
  </si>
  <si>
    <t>Date of Auction -</t>
  </si>
  <si>
    <t>H- Damaged Distribution Transformer's HT/LT Aluminium coils scrap with insulation</t>
  </si>
  <si>
    <t>B)- Damaged Distribution Transformer's HT/LT Aluminium coils scrap with insulation</t>
  </si>
  <si>
    <t>E)  Miscellaneous Iron scrap</t>
  </si>
  <si>
    <t>G.Total</t>
  </si>
  <si>
    <t>K- Damaged Distribution Transformer's HT/LT Aluminium coils scrap with insulation</t>
  </si>
  <si>
    <t>J) Aluminium Conductor Steel Reinforced Scrap</t>
  </si>
  <si>
    <t xml:space="preserve">Name of Store </t>
  </si>
  <si>
    <t>Description of material</t>
  </si>
  <si>
    <t>Pilot W/Shop Sri Muktsar Sahib</t>
  </si>
  <si>
    <t>MS iron scrap / GI scrap</t>
  </si>
  <si>
    <t>Lot no. E - 1</t>
  </si>
  <si>
    <t xml:space="preserve">D) Misc.  Cable scrap </t>
  </si>
  <si>
    <t>Brass scrap</t>
  </si>
  <si>
    <t>Misc. Aluminium scrap</t>
  </si>
  <si>
    <t xml:space="preserve"> Q  Miscellaneous Healthy parts/ Non ferrous scrap material</t>
  </si>
  <si>
    <t>Lot no. Q-3</t>
  </si>
  <si>
    <t>Iron scrap</t>
  </si>
  <si>
    <t>TRY Malerkotla</t>
  </si>
  <si>
    <t>MS iron scrap</t>
  </si>
  <si>
    <t>Lot no. E - 2</t>
  </si>
  <si>
    <t>Misc. Alumn. Scrap</t>
  </si>
  <si>
    <t>All Alumn. Conductor Scrap</t>
  </si>
  <si>
    <t>Lot no. E - 3</t>
  </si>
  <si>
    <t>Lot no. Q-1</t>
  </si>
  <si>
    <t>Lot no. D-1</t>
  </si>
  <si>
    <t>TRY Bathinda</t>
  </si>
  <si>
    <t>Burnt Cu scrap</t>
  </si>
  <si>
    <t>Lot no. Q-4</t>
  </si>
  <si>
    <t>Lot no. Q-6</t>
  </si>
  <si>
    <t>Lot no. Q-7</t>
  </si>
  <si>
    <t>Burnt Aluminium scrap</t>
  </si>
  <si>
    <t>TRY Ferozepur</t>
  </si>
  <si>
    <t>CS Kotkapura</t>
  </si>
  <si>
    <t>Lot no. Q-10</t>
  </si>
  <si>
    <t>Misc. Copper scrap</t>
  </si>
  <si>
    <t>OL store Ropar</t>
  </si>
  <si>
    <t>Burnt copper scrap</t>
  </si>
  <si>
    <t>Lot no. Q-5</t>
  </si>
  <si>
    <t>L)  Condemned/obsolete Vehicles * (Without RC )</t>
  </si>
  <si>
    <t xml:space="preserve">M-LOT -  Three phase Copper/ Aluminium and single phase copper/ Alu wound Damaged Distribution Transformers As Per Actual Site Condition </t>
  </si>
  <si>
    <t>Lot no. E - 4</t>
  </si>
  <si>
    <t>CS Patiala</t>
  </si>
  <si>
    <t>Lot no. Q-11</t>
  </si>
  <si>
    <t>Pilot Workshop Mohali</t>
  </si>
  <si>
    <t>HT Wire scrap &amp; other intermingled iron scrap</t>
  </si>
  <si>
    <t>MS iron scrap ( MS sections, scrapped T&amp;P etc)</t>
  </si>
  <si>
    <t>S &amp; T Store Bathinda</t>
  </si>
  <si>
    <t>Nuts &amp; Bolts scrap</t>
  </si>
  <si>
    <t>OL Mansa</t>
  </si>
  <si>
    <t>Transformer body scrap</t>
  </si>
  <si>
    <t>MS Rail scrap</t>
  </si>
  <si>
    <t>CS Mohali</t>
  </si>
  <si>
    <t>CS Bathinda</t>
  </si>
  <si>
    <t>Teen Patra scrap</t>
  </si>
  <si>
    <t>Lot no. E - 5</t>
  </si>
  <si>
    <t>Lot no. E - 6</t>
  </si>
  <si>
    <t>Lot no. E - 7</t>
  </si>
  <si>
    <t>Lot no. E - 8</t>
  </si>
  <si>
    <t>Quantity in No</t>
  </si>
  <si>
    <t>Disc Insulator Scrap</t>
  </si>
  <si>
    <t>HT wire scrap off size</t>
  </si>
  <si>
    <t>Controller of Stores &amp; Disposal (South), PSPCL, Patiala</t>
  </si>
  <si>
    <t>Lot No B-1</t>
  </si>
  <si>
    <t>Lot No A-1</t>
  </si>
  <si>
    <t xml:space="preserve"> Iron scrap</t>
  </si>
  <si>
    <t>Quantity No</t>
  </si>
  <si>
    <t>CT/PT Units</t>
  </si>
  <si>
    <t>Lot no. I-1</t>
  </si>
  <si>
    <t>CS Sangrur</t>
  </si>
  <si>
    <t>Lot no. Q-8</t>
  </si>
  <si>
    <t>E-Waste Scrap(Meter Scrap) lying at</t>
  </si>
  <si>
    <t>Quantity ( in Kg.)</t>
  </si>
  <si>
    <t>A.O/Disposal</t>
  </si>
  <si>
    <r>
      <t xml:space="preserve">PUNJAB STATE POWER CORPORATION LIMITED  </t>
    </r>
    <r>
      <rPr>
        <b/>
        <sz val="11"/>
        <color indexed="8"/>
        <rFont val="Comic Sans MS"/>
        <family val="4"/>
      </rPr>
      <t xml:space="preserve">         </t>
    </r>
  </si>
  <si>
    <t>Patiala</t>
  </si>
  <si>
    <t>COS&amp;D(South)</t>
  </si>
  <si>
    <t>Sr Xen/Disposal</t>
  </si>
  <si>
    <t>PB-11 AH-0925</t>
  </si>
  <si>
    <t>SHAKTI VIHAR SHEDS PSPCL PATIALA</t>
  </si>
  <si>
    <t>2/core PVC Alumn. Cable scrap</t>
  </si>
  <si>
    <t>4/core PVC Alumn. Cable scrap</t>
  </si>
  <si>
    <t>3/ core XLPE Alu cable scrap</t>
  </si>
  <si>
    <t>Lot no. D-2</t>
  </si>
  <si>
    <t>Lot no. D-3</t>
  </si>
  <si>
    <t>CS Malout</t>
  </si>
  <si>
    <t>Lot no. D-4</t>
  </si>
  <si>
    <t>1/ core XLPE Alu cable scrap</t>
  </si>
  <si>
    <t>OL Ropar</t>
  </si>
  <si>
    <t>CS Ferozepur</t>
  </si>
  <si>
    <t>OL Bhagta Bhai Ka</t>
  </si>
  <si>
    <t>OL store Patran</t>
  </si>
  <si>
    <t>OL Patran</t>
  </si>
  <si>
    <t>OL Rajpura</t>
  </si>
  <si>
    <t>OL Nabha</t>
  </si>
  <si>
    <t>HONDA CIVIC CAR (PETROL) 2008</t>
  </si>
  <si>
    <t xml:space="preserve">NOTE : Before lifting of Transformers (From Lot no. ), HT/LT copper winding coils of transformers shall be mutilated by the purchaser. </t>
  </si>
  <si>
    <t xml:space="preserve">C -  Three phase Copper/ Aluminium and single phase copper/ Aluminium wound Damaged Distribution Transformers As Per Actual Site Condition </t>
  </si>
  <si>
    <t>Central Store Kotkapura</t>
  </si>
  <si>
    <t>L-1</t>
  </si>
  <si>
    <t>Lot no. Q-2</t>
  </si>
  <si>
    <t>Misc. copper scrap</t>
  </si>
  <si>
    <t>OL Fazilka</t>
  </si>
  <si>
    <t>G.TOTAL</t>
  </si>
  <si>
    <t>Lot No A-2</t>
  </si>
  <si>
    <t>Lot no. Q-12</t>
  </si>
  <si>
    <t>OL store Malerkotla</t>
  </si>
  <si>
    <t>Lot no. Q-13</t>
  </si>
  <si>
    <t>Lot no. Q-14</t>
  </si>
  <si>
    <t>Lot no. E - 10</t>
  </si>
  <si>
    <t>TRY Patiala</t>
  </si>
  <si>
    <t>Lot no. I-2</t>
  </si>
  <si>
    <t>Lot No B-2</t>
  </si>
  <si>
    <t>Lot No B-3</t>
  </si>
  <si>
    <t>Lot no. G - 1</t>
  </si>
  <si>
    <t>Lot no. Q-15</t>
  </si>
  <si>
    <t>OL Malerkotla</t>
  </si>
  <si>
    <t>Lot no. G - 2</t>
  </si>
  <si>
    <t>Lot no. G - 3</t>
  </si>
  <si>
    <t>Lot no. G - 4</t>
  </si>
  <si>
    <t>Lot no. G - 5</t>
  </si>
  <si>
    <t>Lot no. G - 6</t>
  </si>
  <si>
    <t>TRY Bhagta Bhai Ka</t>
  </si>
  <si>
    <t>Lot no. Q-16</t>
  </si>
  <si>
    <t>Lot no. Q-17</t>
  </si>
  <si>
    <t>TRY Sangrur</t>
  </si>
  <si>
    <t>TRY Patran</t>
  </si>
  <si>
    <t>Lot no. G - 7</t>
  </si>
  <si>
    <t>Lot no. G - 8</t>
  </si>
  <si>
    <t>Lot no. G - 9</t>
  </si>
  <si>
    <t>Lot no. G - 10</t>
  </si>
  <si>
    <t>Lot no. Q-18</t>
  </si>
  <si>
    <t>Earthwire GSL scrap</t>
  </si>
  <si>
    <t>TRY Ropar</t>
  </si>
  <si>
    <t>Lot no. G - 11</t>
  </si>
  <si>
    <t>Outlet store Shri Muktsar sahib</t>
  </si>
  <si>
    <t>OL Shri Muktsar Sahib</t>
  </si>
  <si>
    <t>Ms Nuts &amp; Bolts</t>
  </si>
  <si>
    <t>PB-05 F-9520</t>
  </si>
  <si>
    <t>MINI TRUCK EICHER DIESEL (1999)</t>
  </si>
  <si>
    <t>DS S/D MAMDOT S/D FEROZEPUR</t>
  </si>
  <si>
    <t>L-2</t>
  </si>
  <si>
    <t>ME LAB SANGRUR (Crushed Meter Scrap/E-Waste)</t>
  </si>
  <si>
    <t>ME LAB ROPAR (Crushed Meter Scrap/E-Waste)</t>
  </si>
  <si>
    <t>L-3</t>
  </si>
  <si>
    <t>PB-03 N-5547</t>
  </si>
  <si>
    <t>AMBASSADOR CAR DIESEL (2005)</t>
  </si>
  <si>
    <t>DS DIVISION BADAL</t>
  </si>
  <si>
    <t>Lot No B-5</t>
  </si>
  <si>
    <t>Central Store Patiala</t>
  </si>
  <si>
    <t>ME LAB PATIALA (Crushed Meter Scrap/E-Waste)</t>
  </si>
  <si>
    <t>Lot No A-3</t>
  </si>
  <si>
    <t>Lot No A-5</t>
  </si>
  <si>
    <t>Lot No A-7</t>
  </si>
  <si>
    <t>TRY Malout</t>
  </si>
  <si>
    <t>Lot No B-8</t>
  </si>
  <si>
    <t>TRY Mansa</t>
  </si>
  <si>
    <t>Lot no. D-7</t>
  </si>
  <si>
    <t>ABC cable scrap (70/95 mm)</t>
  </si>
  <si>
    <t>Lot no. D-8</t>
  </si>
  <si>
    <t>Lot no. D-9</t>
  </si>
  <si>
    <t>1/core PVC Alumn. Cable scrap</t>
  </si>
  <si>
    <t>Lot no. D-10</t>
  </si>
  <si>
    <t>Lot no. D-11</t>
  </si>
  <si>
    <t>Lot no. D-12</t>
  </si>
  <si>
    <t>Lot no. E - 9</t>
  </si>
  <si>
    <t>Lot no. E - 14</t>
  </si>
  <si>
    <t>Lot no. E - 15</t>
  </si>
  <si>
    <t>Lot No A-4</t>
  </si>
  <si>
    <t>Lot No A-6</t>
  </si>
  <si>
    <t>Outlet store Patran</t>
  </si>
  <si>
    <t>Outlet store Barnala</t>
  </si>
  <si>
    <t>Lot No A-9</t>
  </si>
  <si>
    <t>Lot No A-10</t>
  </si>
  <si>
    <t>Outlet store Ropar</t>
  </si>
  <si>
    <t>Outlet store Mansa</t>
  </si>
  <si>
    <t>Lot No B-6</t>
  </si>
  <si>
    <t>Lead seal scrap with lash wire</t>
  </si>
  <si>
    <t>Lot no. D-5</t>
  </si>
  <si>
    <t>OL Barnala</t>
  </si>
  <si>
    <t>Lot no. D-6</t>
  </si>
  <si>
    <t>Lot no. E - 18</t>
  </si>
  <si>
    <t>G.I. scrap</t>
  </si>
  <si>
    <t>Lot no. Q-23</t>
  </si>
  <si>
    <t>Lot no. Q-24</t>
  </si>
  <si>
    <t>Lot no. Q-19</t>
  </si>
  <si>
    <t>Lot no. I-3</t>
  </si>
  <si>
    <t>G.I. Scrap</t>
  </si>
  <si>
    <t>M.S. Nuts &amp; Bolts Scrap</t>
  </si>
  <si>
    <t>Lot no. E - 11</t>
  </si>
  <si>
    <t>CS Kotkapura  (.237 MT Intermingle)</t>
  </si>
  <si>
    <t>Lot No A-8</t>
  </si>
  <si>
    <t>Lot no. Q-20</t>
  </si>
  <si>
    <t>Lot No A-11</t>
  </si>
  <si>
    <t>Lot No B-4</t>
  </si>
  <si>
    <t>Lot no. I-4</t>
  </si>
  <si>
    <t>Lot no. E - 12</t>
  </si>
  <si>
    <t>Lot no. E - 13</t>
  </si>
  <si>
    <t>Central Store Sangrur</t>
  </si>
  <si>
    <t>Lot no. Q-21</t>
  </si>
  <si>
    <t>Lot no. D-14</t>
  </si>
  <si>
    <t xml:space="preserve">S.Report No. </t>
  </si>
  <si>
    <t xml:space="preserve">No of T/Fs </t>
  </si>
  <si>
    <t>Cap. in KVA</t>
  </si>
  <si>
    <t>Description</t>
  </si>
  <si>
    <t>Indicative Design Wt. of Core &amp; Winding (KG)</t>
  </si>
  <si>
    <t>Three Phase Aluminium Wound T/F</t>
  </si>
  <si>
    <t xml:space="preserve">10 KVA </t>
  </si>
  <si>
    <t>WNP =27 (unstandard tf's)</t>
  </si>
  <si>
    <t>WNP =25 (unstandard tf's)</t>
  </si>
  <si>
    <t>WNP =14 (unstandard tf's)</t>
  </si>
  <si>
    <t>TRY Moga</t>
  </si>
  <si>
    <t>Three Phase Copper Wound T/F</t>
  </si>
  <si>
    <t>6.3 KVA</t>
  </si>
  <si>
    <t>10 KVA</t>
  </si>
  <si>
    <t>WNP-25 (unstandard tf's)</t>
  </si>
  <si>
    <t>WNP-18 (unstandard tf's)</t>
  </si>
  <si>
    <t>16 KVA</t>
  </si>
  <si>
    <t>Single Phase Copper Wound T/F</t>
  </si>
  <si>
    <t>Single Phase Aluminium Wound T/F</t>
  </si>
  <si>
    <t>Outlet store Rajpura</t>
  </si>
  <si>
    <t>25 KVA</t>
  </si>
  <si>
    <r>
      <t xml:space="preserve">Following Scrap Material is Offered for On-Line Forward E-Auction at the above mentioned date as per the prevailing PSPCL's Terms &amp; Conditions of the E-Auction Sale ( available on PSPCL web site www.pspcl.in) on </t>
    </r>
    <r>
      <rPr>
        <b/>
        <sz val="12"/>
        <rFont val="Arial"/>
        <family val="2"/>
      </rPr>
      <t>"As - Is - Where - Is " basis.</t>
    </r>
  </si>
  <si>
    <t>Lot no. Q-22</t>
  </si>
  <si>
    <t>Lot no. Q-25</t>
  </si>
  <si>
    <t xml:space="preserve">6.3 KVA </t>
  </si>
  <si>
    <t xml:space="preserve">16 KVA </t>
  </si>
  <si>
    <t>WNP-1 (unstandard tf's)</t>
  </si>
  <si>
    <t>WNP-3 (unstandard tf's)</t>
  </si>
  <si>
    <t>63 KVA</t>
  </si>
  <si>
    <r>
      <t xml:space="preserve">Lot No. C 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</si>
  <si>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t>Lot no. D-13</t>
  </si>
  <si>
    <t>100 KVA</t>
  </si>
  <si>
    <t xml:space="preserve"> WNP=1 (unstandard tf's)</t>
  </si>
  <si>
    <t>ABC cable scrap (150 mm)</t>
  </si>
  <si>
    <t>TRY Kotkapura</t>
  </si>
  <si>
    <t>Lot No B-7</t>
  </si>
  <si>
    <t>Lot no. Q-26</t>
  </si>
  <si>
    <t>Lot No B-9</t>
  </si>
  <si>
    <t>Lot no. D-15</t>
  </si>
  <si>
    <t>Lot no. D-16</t>
  </si>
  <si>
    <t xml:space="preserve"> </t>
  </si>
  <si>
    <t>…. CE/ TA &amp; I PSPCL PATIALA 96461-19587</t>
  </si>
  <si>
    <t>….. DS S/D MAMDOT PSPCL FEROZEPUR MOB 9646114589</t>
  </si>
  <si>
    <t>….. DS DIVISION BADAL 96461-14534</t>
  </si>
  <si>
    <t>STAR-1, STAR/TA=01,STAR/JB-1, ,JAY BEE=2,SONI=01,DURGA/JB=01, DURGA/SIC-1,NUCON=1,MUBASA/JB=01,SVASCA=01,SWASTIK/HR POWER-1, SWASTIK/JB-2,,LIBERTY/KB=01,SIC/JB=01,SARAF/ELECTRA=01,DM/PME=01,TA=01,TMR/PME=01</t>
  </si>
  <si>
    <t>WNP-27 (unstandard tf's)</t>
  </si>
  <si>
    <t>WNP-26 (unstandard tf's)</t>
  </si>
  <si>
    <t>WNP-30 (unstandard tf's)</t>
  </si>
  <si>
    <t>PTEL-1</t>
  </si>
  <si>
    <t>Outlet store Fazilka</t>
  </si>
  <si>
    <t>Lot No B-10</t>
  </si>
  <si>
    <t>Lot no. D17</t>
  </si>
  <si>
    <t>Lot no. Q-27</t>
  </si>
  <si>
    <t>Outlet store Moga</t>
  </si>
  <si>
    <t>Lot No A-12</t>
  </si>
  <si>
    <t>Lot no. D18</t>
  </si>
  <si>
    <t>OL Moga</t>
  </si>
  <si>
    <t>Lot no. Q-28</t>
  </si>
  <si>
    <t>ME LAB MOGA (Crushed Meter Scrap/E-Waste)</t>
  </si>
  <si>
    <t>ME LAB SHRI MUKTSAR SAHIB (Crushed Meter Scrap/E-Waste)</t>
  </si>
  <si>
    <t>Lot No. I-10</t>
  </si>
  <si>
    <t>Lot No. I-11</t>
  </si>
  <si>
    <t>Lot No. I-12</t>
  </si>
  <si>
    <t>Lot No. I-13</t>
  </si>
  <si>
    <t>Lot No. I-14</t>
  </si>
  <si>
    <t>Lot no. I-5</t>
  </si>
  <si>
    <t>Empty steel drums (cap.209 ltr.)</t>
  </si>
  <si>
    <t>50/2023</t>
  </si>
  <si>
    <t>SKYWAY-3, PP-1,JB-1, NUCON-1, ARDI-1</t>
  </si>
  <si>
    <t>51/2023</t>
  </si>
  <si>
    <t>JB-1, UP T/F-1, SICL-1, TA-1</t>
  </si>
  <si>
    <t>TA-1</t>
  </si>
  <si>
    <t>52/2023</t>
  </si>
  <si>
    <t>53/2023</t>
  </si>
  <si>
    <t>G)  Wooden scrap (without iron parts) lying as per detail given below:-</t>
  </si>
  <si>
    <t>Central Store Bathinda</t>
  </si>
  <si>
    <t>Lot no. I-6</t>
  </si>
  <si>
    <r>
      <t xml:space="preserve">Lot No. C 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NABHA</t>
    </r>
  </si>
  <si>
    <t>DAUSA - 1, PTEL - 1, SIC-1</t>
  </si>
  <si>
    <t>SARAF - 2, PP - 1</t>
  </si>
  <si>
    <t>WNP-14 (unstandard tf's)</t>
  </si>
  <si>
    <t>WNP-7 (unstandard tf's)</t>
  </si>
  <si>
    <t>WNP-5 (unstandard tf's)</t>
  </si>
  <si>
    <t>WNP-2 (unstandard tf's)</t>
  </si>
  <si>
    <t>PTEL-3, PP-3</t>
  </si>
  <si>
    <t>SICL-2</t>
  </si>
  <si>
    <t>ECO-1, SICL-1</t>
  </si>
  <si>
    <t xml:space="preserve"> WNP=25 (unstandard tf's)</t>
  </si>
  <si>
    <t xml:space="preserve"> WNP=29 (unstandard tf's)</t>
  </si>
  <si>
    <t>NUCON-2</t>
  </si>
  <si>
    <t>NUCON-1,SHIVALIK-1,PAN-2,JR-2,PUNJAB-1,ASI-1</t>
  </si>
  <si>
    <t>SARAF-1,JB-2,PTEL-1</t>
  </si>
  <si>
    <t>SHIV BHOLE/PTEL-1, IACL/TA-1, STAR/PTEL-1</t>
  </si>
  <si>
    <t>DM/TA-1, GOYMA/PTEL-1, PP-1</t>
  </si>
  <si>
    <t>Lot No A-13</t>
  </si>
  <si>
    <t>Lot No A-14</t>
  </si>
  <si>
    <t>Lot no. E - 16</t>
  </si>
  <si>
    <t>Lot No A-15</t>
  </si>
  <si>
    <t>Lot No A-16</t>
  </si>
  <si>
    <t>Central Store Malout</t>
  </si>
  <si>
    <t>Lot no. I-7</t>
  </si>
  <si>
    <t>OL Shri Mukfsar Sahib</t>
  </si>
  <si>
    <t>Lot No. I-15</t>
  </si>
  <si>
    <t>TRY Barnala</t>
  </si>
  <si>
    <t>ARDISON-1,SKYWAY-1,UTTAM-2</t>
  </si>
  <si>
    <t>NUCON-1,MS-1</t>
  </si>
  <si>
    <t xml:space="preserve"> WNP=19 (unstandard tf's)</t>
  </si>
  <si>
    <t>ARD-1,WNP-19 ( unstandard tf's)</t>
  </si>
  <si>
    <t>JB-1,WNP-11 (unstandard tf's)</t>
  </si>
  <si>
    <t>Alu.  seals scrap with lash wire</t>
  </si>
  <si>
    <t>Lot no. I-8</t>
  </si>
  <si>
    <t xml:space="preserve">WNP =1.(unstandard tf's)                                                                     </t>
  </si>
  <si>
    <t xml:space="preserve">WNP =8.(unstandard tf's)                                                                     </t>
  </si>
  <si>
    <t>dtpl-1,pp-2,kissan-1,saraf-1</t>
  </si>
  <si>
    <t>ptel-1</t>
  </si>
  <si>
    <t>pp-1</t>
  </si>
  <si>
    <t xml:space="preserve">mcpl-1,wnp-1.(unstandard tf's)   </t>
  </si>
  <si>
    <t xml:space="preserve">WNP =5.(unstandard tf's)                                                                     </t>
  </si>
  <si>
    <t>DTPL - 2 , MRN - 1, TA-1</t>
  </si>
  <si>
    <t>NUCON - 1</t>
  </si>
  <si>
    <t>SARAF-1, MRN - 1</t>
  </si>
  <si>
    <t xml:space="preserve">WNP =27.(unstandard tf's)                                                                     </t>
  </si>
  <si>
    <t xml:space="preserve">WNP =3.(unstandard tf's)                                                                     </t>
  </si>
  <si>
    <t>AA - LT ABC Cable scrap without insulation:-</t>
  </si>
  <si>
    <t>Lot No AA-1</t>
  </si>
  <si>
    <t>U/S Tyres</t>
  </si>
  <si>
    <t>U/S Tubes</t>
  </si>
  <si>
    <t>CS SANGRUR (U/S AC WINDOW)</t>
  </si>
  <si>
    <t>CS PATIALA  (U/S AC WINDOW)</t>
  </si>
  <si>
    <t>Quantity ( in No.)</t>
  </si>
  <si>
    <r>
      <rPr>
        <b/>
        <u val="single"/>
        <sz val="14"/>
        <color indexed="8"/>
        <rFont val="Calibri"/>
        <family val="2"/>
      </rPr>
      <t>(I) E-Waste Material lying in Central Store Patiala,Central Store Sangrur as per detail given below :-</t>
    </r>
    <r>
      <rPr>
        <b/>
        <sz val="14"/>
        <color indexed="8"/>
        <rFont val="Calibri"/>
        <family val="2"/>
      </rPr>
      <t xml:space="preserve">                                                                                                   </t>
    </r>
    <r>
      <rPr>
        <b/>
        <u val="single"/>
        <sz val="16"/>
        <color indexed="8"/>
        <rFont val="Calibri"/>
        <family val="2"/>
      </rPr>
      <t>Note:-</t>
    </r>
    <r>
      <rPr>
        <b/>
        <sz val="14"/>
        <color indexed="8"/>
        <rFont val="Calibri"/>
        <family val="2"/>
      </rPr>
      <t xml:space="preserve"> Bidders holding valid authorisation under E-waste (Management) Rules, 2016 as amended in 2018 for dismantling, recycling and refurbishing of E-waste are allowed to participate in E-auction of E-waste. Bid initiated by any other bidder for purchase of E-waste material without holding above mentioned authorisation will not be considered. </t>
    </r>
  </si>
  <si>
    <t>Tubular Poles</t>
  </si>
  <si>
    <t>Lot no. E - 17</t>
  </si>
  <si>
    <t>All Alum scrap</t>
  </si>
  <si>
    <t>Alu scrap of damaged T/F accessories</t>
  </si>
  <si>
    <t>Copper scrap</t>
  </si>
  <si>
    <t>Piller box scrap</t>
  </si>
  <si>
    <t>Iron scrap of Bush fixings</t>
  </si>
  <si>
    <t>CS PATIALA  (U/S STABLIZERS)</t>
  </si>
  <si>
    <t>WNP-23 (unstandard tf's)</t>
  </si>
  <si>
    <t>Lot No AA-2</t>
  </si>
  <si>
    <t>Lot No. I-16</t>
  </si>
  <si>
    <t>Lot No. I-17</t>
  </si>
  <si>
    <t>Lot No. I-18</t>
  </si>
  <si>
    <t>25 KVA (CORE &amp; TANK)</t>
  </si>
  <si>
    <t xml:space="preserve">ME LAB ROPAR  (Electronic Meter Scrap/E-Waste )  </t>
  </si>
  <si>
    <t>DTPL-1</t>
  </si>
  <si>
    <t>PP-2, ARD-1,PTEL-1,SARAF-1</t>
  </si>
  <si>
    <t>WNP-19 (unstandard tf's)</t>
  </si>
  <si>
    <t>63 KVA (CORE &amp; TANK)</t>
  </si>
  <si>
    <t>SARAF-2, MRN-2, PP-2, JR-1, PTEL-1, NPC-1,SIC-1</t>
  </si>
  <si>
    <t>Tubular Poles scrap</t>
  </si>
  <si>
    <t xml:space="preserve">ME LAB BATHINDA  (Electronic Meter Scrap/E-Waste )  </t>
  </si>
  <si>
    <t xml:space="preserve">ME LAB MOGA (Electronic Meter Scrap/E-Waste )  </t>
  </si>
  <si>
    <t>Lot No. I-19</t>
  </si>
  <si>
    <t>Lot No. I-20</t>
  </si>
  <si>
    <t>Lot no. Q-29</t>
  </si>
  <si>
    <t>CS Ferozepur (.015 MT Intermingle)</t>
  </si>
  <si>
    <t>Lot No A-18</t>
  </si>
  <si>
    <t>Lot no. G - 12</t>
  </si>
  <si>
    <t>OL Shri Mukatsar Sahib</t>
  </si>
  <si>
    <t>JINDAL-1, PP-3,SIC-1,JAY BEE-1,ECO POWER-1,SARAF-2,SKYWAY-1,NUCON-1</t>
  </si>
  <si>
    <t>PME-5,TA-6,PP-1,MRN-3,JAY BEE-5,SAPA-2,ELECTRA-2,JR-1</t>
  </si>
  <si>
    <t>CAPITAL-4,ELECTRA-4,JR-1,TA-4,SARAF-2,JAY BEE-2,PME-5,MARSON-2,PTEL-1</t>
  </si>
  <si>
    <t>PME-5, BHOPAL-2,SIC-1,ELECTRA-2,TA-4,JAY BEE-4,JR-2</t>
  </si>
  <si>
    <t>MRN-3,JR-4,SARAF-5,PME-5,PTEL-2,JAY BEE-4,ELECTRA-4,TA-3</t>
  </si>
  <si>
    <t xml:space="preserve">25 KVA </t>
  </si>
  <si>
    <t xml:space="preserve">63 KVA </t>
  </si>
  <si>
    <t xml:space="preserve">100 KVA </t>
  </si>
  <si>
    <t>WNP-22 (unstandard tf's)</t>
  </si>
  <si>
    <t>WNP-11 (unstandard tf's)</t>
  </si>
  <si>
    <t>PTEL 1, NUCON 3, NPC 3, SKYWAY 1, JR 2, SHRIKRISNA 1, SHIVA WELD 2, PP 2, TA 2</t>
  </si>
  <si>
    <t>SICL 2, JR 3, MAHASHKTI 1, AGARWAL 1, UTTAM 1</t>
  </si>
  <si>
    <t>JB 3, SICL 8, ARDISON 1, PTEL 1, ECO 2</t>
  </si>
  <si>
    <t>JR 1, JB 1</t>
  </si>
  <si>
    <t>SAPA 1, SHIVSHKTI 1</t>
  </si>
  <si>
    <t>JB 2, NPC 2</t>
  </si>
  <si>
    <t>UTTAM 1, SHIVSHKTI 1</t>
  </si>
  <si>
    <t>63 KVA (amorphous core)</t>
  </si>
  <si>
    <t>NUCON 2, NPC 1,</t>
  </si>
  <si>
    <t>JB 1</t>
  </si>
  <si>
    <t>NUCON 1, SICL 2, MANU 2</t>
  </si>
  <si>
    <t>Lot no. G - 13</t>
  </si>
  <si>
    <t>PP 1, JR 1, NUCON 1(unstandard tf's)</t>
  </si>
  <si>
    <t>PP 1, SHIVSHKTI 1, KISAN 1 (unstandard tf's)</t>
  </si>
  <si>
    <t>Lot no. E - 19</t>
  </si>
  <si>
    <t>G.I. Wire/GSL scrap</t>
  </si>
  <si>
    <t>Lot No B-11</t>
  </si>
  <si>
    <t>SICL-1,MAHASHAKTI-1,SKYWAY-1,NPC-1</t>
  </si>
  <si>
    <t>UTTAM-2,SICL-1,NUCON-2,SBI-1,MAHASHAKTI-1,TA-1</t>
  </si>
  <si>
    <t>JB-2</t>
  </si>
  <si>
    <t>SHIVSHAKTI-2,SICL-1</t>
  </si>
  <si>
    <t>200 KVA</t>
  </si>
  <si>
    <t>PME-1</t>
  </si>
  <si>
    <t>SE-2(unstandard tf's)</t>
  </si>
  <si>
    <t>SE-1(unstandard tf's)</t>
  </si>
  <si>
    <t>Lot no. E - 20</t>
  </si>
  <si>
    <t>Lot no. E - 21</t>
  </si>
  <si>
    <t>Lot no. G - 14</t>
  </si>
  <si>
    <t>M.S Iron scrap</t>
  </si>
  <si>
    <t>NUCON-3,MAHASHAKTI-5,MANUPOWER-1,SICL-1</t>
  </si>
  <si>
    <t>Lot no. E - 22</t>
  </si>
  <si>
    <t>Lot no. E - 23</t>
  </si>
  <si>
    <t>Lot No B-12</t>
  </si>
  <si>
    <t>Lot No B-13</t>
  </si>
  <si>
    <t>PPI-2</t>
  </si>
  <si>
    <t>PTEL-1,UBE-1,NSL-2,JB-2,NPC-1,KSM-1</t>
  </si>
  <si>
    <t>PPI-5,MRN-1,JB-1,SST-2,NPC-2,SEF-1</t>
  </si>
  <si>
    <t>AMN=2</t>
  </si>
  <si>
    <t>NSL-2</t>
  </si>
  <si>
    <t>ARD-2,SBJ-1</t>
  </si>
  <si>
    <t>SIC-1,NSL-1,UBE-1</t>
  </si>
  <si>
    <t>JR-1, JB-3, TA-1, ELECTRA-1, SIC-1, NSL-1, SEN-1</t>
  </si>
  <si>
    <t>400 KVA</t>
  </si>
  <si>
    <t>500 KVA</t>
  </si>
  <si>
    <t>58/2023</t>
  </si>
  <si>
    <t>SKYWAY=1</t>
  </si>
  <si>
    <t>59/2023</t>
  </si>
  <si>
    <t>NUCON=2</t>
  </si>
  <si>
    <t>61/2023</t>
  </si>
  <si>
    <t>SAPA=1,JR T/F=1</t>
  </si>
  <si>
    <t>NUCON=1,SICL=1</t>
  </si>
  <si>
    <t>100KVA</t>
  </si>
  <si>
    <t>MODREN T/F=1,BHOPAL=1</t>
  </si>
  <si>
    <t>60/2023</t>
  </si>
  <si>
    <t>WNP=2(unstandard tf"s))</t>
  </si>
  <si>
    <t>Lot no. G - 15</t>
  </si>
  <si>
    <t>Lot no. Q-30</t>
  </si>
  <si>
    <t>Lot No A-19</t>
  </si>
  <si>
    <t>M.S. Girder Scrap</t>
  </si>
  <si>
    <t>MS Nuts &amp; bolts scrap</t>
  </si>
  <si>
    <t>Cast Iron Scrap</t>
  </si>
  <si>
    <t>Lamination scrap</t>
  </si>
  <si>
    <t>Lot no. E - 24</t>
  </si>
  <si>
    <t>Lot no. G - 16</t>
  </si>
  <si>
    <t>OLNabha</t>
  </si>
  <si>
    <t>PTEL-1,NUCON-1</t>
  </si>
  <si>
    <t>NUCON-2,JR-3,AGGARWAL-3,MS-4,SUSHIL-2,PP-1,DAUSA-1,PUNJAB-1,DUABLE-1</t>
  </si>
  <si>
    <t xml:space="preserve">10KVA </t>
  </si>
  <si>
    <t>100 KVA (CORE &amp; TANK)</t>
  </si>
  <si>
    <t>200 KVA (CORE &amp; TANK)</t>
  </si>
  <si>
    <t>NUCON-9, JR-6, ECO-1, JB-1, AGGARWAL-2, PAN-1, MS-2, PTEL-3, SICL-2, DURA-1</t>
  </si>
  <si>
    <t>NUCON-3, JR-3, ECO-1</t>
  </si>
  <si>
    <t>STAR/TA-1, KISSAN-1, TA-1, TA/SICL-1, JB-1, LIBERTY/TA-1, HR POWER-1, STAR/MS-1, JINDAL-1</t>
  </si>
  <si>
    <t>LIBERTY/TA-1, JB/TA-1, S.KRISHNA/TA-1, SARAF/SICL-1,JM/SICL-1, DM/TA-1</t>
  </si>
  <si>
    <t>JK/TA-1, MECCA-1, JB-1, STAR/SICL-1, DM/MS-1,DM/SICL-1, DM/PP-1, JB-1</t>
  </si>
  <si>
    <t>SONI-02,JB-06,PP-01,STAR-02,PATIALA WORK SHOP-01,MUKAND-01,JK-02,SWASTIK-03,DM-01,GTB-1,LIBERTY-1,PTEL-01,NUCON-01</t>
  </si>
  <si>
    <t>WNP-16 (unstandard tf's)</t>
  </si>
  <si>
    <t>WNP-10 (unstandard tf's)</t>
  </si>
  <si>
    <t>LIBERTY -8</t>
  </si>
  <si>
    <t>KKK/2024/001</t>
  </si>
  <si>
    <t xml:space="preserve">DTPL = 1, HRP = 1, SHK = 2, NPC = 3, JR = 1, MCPL = 1,JB = 1, TA = 1                                                                                     </t>
  </si>
  <si>
    <t>KKK/2024/003</t>
  </si>
  <si>
    <t xml:space="preserve">DTPL = 1, PP = 1, JB = 1                                                                                 </t>
  </si>
  <si>
    <t>KKK/2024/005</t>
  </si>
  <si>
    <t>KKK/2024/002</t>
  </si>
  <si>
    <t xml:space="preserve">ARD = 2, SIC = 3                                                                           </t>
  </si>
  <si>
    <t>KKK/2024/004</t>
  </si>
  <si>
    <t>KKK/2024/006</t>
  </si>
  <si>
    <t xml:space="preserve">6.3  KVA                     </t>
  </si>
  <si>
    <t xml:space="preserve">SEWAK = 01 NO. (unstandard tf's)                                                                                                </t>
  </si>
  <si>
    <t xml:space="preserve">6.3 KVA                    </t>
  </si>
  <si>
    <t xml:space="preserve">WNP = 05 NO.(unstandard tf's)                                                                          </t>
  </si>
  <si>
    <t xml:space="preserve">WNP = 04 NO. (unstandard tf's)                                                                         </t>
  </si>
  <si>
    <t xml:space="preserve">10  KVA               </t>
  </si>
  <si>
    <t>DURABALE-1</t>
  </si>
  <si>
    <t>S-KRISHNA-1 PTEL-1</t>
  </si>
  <si>
    <t>JB-2,PTEL-1</t>
  </si>
  <si>
    <t>UTTAM-1 SICL-1</t>
  </si>
  <si>
    <t>NUCON-2,TA-1,SARAF-1</t>
  </si>
  <si>
    <t>6:3 KVA</t>
  </si>
  <si>
    <t>63 KVA(CORE &amp; TANK)</t>
  </si>
  <si>
    <t>25 KVA(CORE&amp; TANK)</t>
  </si>
  <si>
    <t>25 KVA(CORE &amp; TANK)</t>
  </si>
  <si>
    <t>WNP-20 (unstandard tf's)</t>
  </si>
  <si>
    <t>WNP-4 (unstandard tf's)</t>
  </si>
  <si>
    <t>DURGA-10</t>
  </si>
  <si>
    <t>DURGA-20</t>
  </si>
  <si>
    <t>DURGA-12</t>
  </si>
  <si>
    <t>Lot No B-14</t>
  </si>
  <si>
    <t>SHIV SHAKTI-1,AGGARWAL-1,JR-1,MS-3,PP-1,SARAF-1</t>
  </si>
  <si>
    <t>SARAF-2,NUCON-2,PTEL-1</t>
  </si>
  <si>
    <t>LIBERTY-4</t>
  </si>
  <si>
    <t>TA-1,MS-1,UP-1,JB-2,ELECTRA-1,SARAF-1,SAPA-4</t>
  </si>
  <si>
    <t>JB-6,PME-2,ELECTRA-2,NUCON-3</t>
  </si>
  <si>
    <t>SHRI KRISHNA-1,JB-2,SICL-1,ELECTRA-1,PME-1</t>
  </si>
  <si>
    <t>WNP-6 (unstandard tf's)</t>
  </si>
  <si>
    <t>Lot No B-15</t>
  </si>
  <si>
    <t>Lot No B-16</t>
  </si>
  <si>
    <t>Lot No B-17</t>
  </si>
  <si>
    <t>Lot no. E - 25</t>
  </si>
  <si>
    <t>Lot No B-18</t>
  </si>
  <si>
    <t>Lot no. Q-31</t>
  </si>
  <si>
    <t>Lot no. Q-32</t>
  </si>
  <si>
    <t>Lot no. Q-33</t>
  </si>
  <si>
    <t>UTTAM-1,WNP-15 (unstandard tf's)</t>
  </si>
  <si>
    <t>SEN-4,JB-2,ECE-1,ELECTRA-3,TA-1</t>
  </si>
  <si>
    <t>NSL-1,SIC-2,SEN-1,ELECTRA-1,PME-1</t>
  </si>
  <si>
    <t>Lot no. Q-34</t>
  </si>
  <si>
    <t>q5 lot and q 34 (out od 4.112…2 mt separate)</t>
  </si>
  <si>
    <t>Lot No B-19</t>
  </si>
  <si>
    <t>Lot No B-20</t>
  </si>
  <si>
    <t xml:space="preserve">CS Kotkapura </t>
  </si>
  <si>
    <t>Lot no. Q-9</t>
  </si>
  <si>
    <t>SICL-1</t>
  </si>
  <si>
    <t>HI TECH-1</t>
  </si>
  <si>
    <t>JR-1</t>
  </si>
  <si>
    <t>PP-1 (unstandard tf's)</t>
  </si>
  <si>
    <t>PTEL-3,  DTPL-1, NUCON-1, SICL-3, HRP-1, PPI-4, MCPL-1</t>
  </si>
  <si>
    <t>HITECH-3,JB-18,EPS-6,SONI-1,JINDAL-1,SHIVALIK-1</t>
  </si>
  <si>
    <t>JB-15,EPS-9,HITECH-5,JINDAL-1</t>
  </si>
  <si>
    <t>JB-22,HITECH-2,EPS-5,JINDAL-1</t>
  </si>
  <si>
    <t>JB-17,HITECH-4,EPS-8,JR-1</t>
  </si>
  <si>
    <t>JB-16,MP-2,JINDAL-1,EPS-10,HITECH-1</t>
  </si>
  <si>
    <t>JB-18,ARD-8,SHIVA-3,EPS-1</t>
  </si>
  <si>
    <t>JB-10,ARD-12,DURABLE-1,SHIVA-2,EPS-5</t>
  </si>
  <si>
    <t>SHIVA-5,JB-10,EPS-6,ARD-7,HITECH-1,JINDAL-1</t>
  </si>
  <si>
    <t>EPS-11,JB-10,ARD-6,SHIVA-2,HITECH-1</t>
  </si>
  <si>
    <t>EPS-2,JB-14,ARD-10,SHIVA-4</t>
  </si>
  <si>
    <t>JB-13,ARD-13,EPS-4</t>
  </si>
  <si>
    <t>EPS-10,JB-11,ARD-6,SHIVA-2,JR-1</t>
  </si>
  <si>
    <t>JB-18,EPS-7,HITECH-4,NBGL-1</t>
  </si>
  <si>
    <t>EPS-11,NBGL-1,HITECH-3,JB-14,JINDAL-1</t>
  </si>
  <si>
    <t>EPS-8,JB-17,HITECH-3,JINDAL-1,ARD-1</t>
  </si>
  <si>
    <t>JB-15,EPS-9,HITECH-3,MP-1,SHIVALIK-1,NBGL-1</t>
  </si>
  <si>
    <t>JB-13,JINDAL-1,EPS-3,HITECH-2,SICL-1</t>
  </si>
  <si>
    <t>JB-10,EPS-8,NBGL-1,ARD-9,SHIVA-2</t>
  </si>
  <si>
    <t>JB-17,EPS-5,ARD-6,SHIVA-1,JINDAL-1</t>
  </si>
  <si>
    <t>JB-17,ARD-6,SHIVA-2,EPS-4,NBGL-1</t>
  </si>
  <si>
    <t>EPS-7,JB-17,ARD-4,SHIVA-2</t>
  </si>
  <si>
    <t>SHIVA-6,JB-16,ARD-6,EPS-2</t>
  </si>
  <si>
    <t>JB-15,EPS-7,NBGL-2,ARD-6</t>
  </si>
  <si>
    <t>EPS-9,SHIVA-2,JB-14,ARD-3</t>
  </si>
  <si>
    <t>CS PATIALA  (U/S AC SPLIT)</t>
  </si>
  <si>
    <t>U/S Typewriters</t>
  </si>
  <si>
    <t>Lot No. I-9</t>
  </si>
  <si>
    <t>Lot no. E - 26</t>
  </si>
  <si>
    <t>S &amp; T Store Bathinda (1.367 MT Intermingle)</t>
  </si>
  <si>
    <t>Lot no. Q-35</t>
  </si>
  <si>
    <t>U/S Ceiling Fans</t>
  </si>
  <si>
    <t>JB-1,SICL-2,ECO-1,PP-3,MS-2,SKYWAY-1</t>
  </si>
  <si>
    <t>MS-3,PAN-1</t>
  </si>
  <si>
    <t>NUCON-1,AGGARWAL-1</t>
  </si>
  <si>
    <t>WNP-8 (unstandard tf's)</t>
  </si>
  <si>
    <t>JINDAL-2,ECO-3,PVJ-2,JB-3,SHIVA-1,NB-2,SHIVALIK-1,JR-1</t>
  </si>
  <si>
    <t>SIC= 01,STAR=01,JR=05,DURABLE=01,PP=01</t>
  </si>
  <si>
    <t>PP=06,NUCON=01,JR=01,JAY BEE=01,DURABLE=02,TA=01</t>
  </si>
  <si>
    <t>NV=01,IACL-01,UTTAM=01,PTEL=02,TA=05,SIC=01,STAR=02,SWASTIK=01,JB=04,LIBERTY=02,ELECTRA=2,SONI=01,SAPA=04,PME=3,SARAF=01</t>
  </si>
  <si>
    <t>ECO-1 JB-1</t>
  </si>
  <si>
    <t>Lot No A-17</t>
  </si>
  <si>
    <t>Lot no. Q-36</t>
  </si>
  <si>
    <t>PP-1</t>
  </si>
  <si>
    <t>UTTAM-1</t>
  </si>
  <si>
    <t>SICL-1,SE-1,PTEL-1</t>
  </si>
  <si>
    <t>ARD-1</t>
  </si>
  <si>
    <t>ELECTRA-1,JB-1,PME-1,NUCON-1,SICL-1</t>
  </si>
  <si>
    <t>MARSON-1</t>
  </si>
  <si>
    <t>DURABLE-1</t>
  </si>
  <si>
    <t>200 KVA(CORE &amp; TANK)</t>
  </si>
  <si>
    <t>SE-1,JB-1(unstandard tf's)</t>
  </si>
  <si>
    <t>DURABLE-1(unstandard tf's)</t>
  </si>
  <si>
    <t>Lot no. E - 27</t>
  </si>
  <si>
    <t>Lot No B-21</t>
  </si>
  <si>
    <t>CS Malout (.133 MT Intermingle)</t>
  </si>
  <si>
    <t>CS Patiala (.01 MT Intermingle)</t>
  </si>
  <si>
    <t>Outlet store Nabha</t>
  </si>
  <si>
    <t>OLRajpura</t>
  </si>
  <si>
    <t>CS Bathinda (.135 MT intermingle)</t>
  </si>
  <si>
    <t>Outlet store Bhagta Bhai Ka (.18 MT Intermingle)</t>
  </si>
  <si>
    <t>Lot no. E - 28</t>
  </si>
  <si>
    <t>CS KOTKAPURA (U/S AC WINDOW)</t>
  </si>
  <si>
    <t>Lot No. I-21</t>
  </si>
  <si>
    <t>CS Mohali (.134 MT intermingle)</t>
  </si>
  <si>
    <t>Lot no. G - 17</t>
  </si>
  <si>
    <t>EA-70 /PTA-2023-24</t>
  </si>
  <si>
    <t>13.02.2024</t>
  </si>
  <si>
    <r>
      <t xml:space="preserve">Lot No. C 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</si>
  <si>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</si>
  <si>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r>
      <t xml:space="preserve">Lot No. C5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</si>
  <si>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r>
      <t xml:space="preserve">Lot No. C 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BATHINDA</t>
    </r>
  </si>
  <si>
    <r>
      <t xml:space="preserve">Lot No. C 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SANGRUR</t>
    </r>
  </si>
  <si>
    <r>
      <t xml:space="preserve">Lot No. C 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</si>
  <si>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r>
      <t xml:space="preserve">Lot No. C 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</si>
  <si>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10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</si>
  <si>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11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</si>
  <si>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12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FEROZEPUR</t>
    </r>
  </si>
  <si>
    <r>
      <t xml:space="preserve">Lot No. C 13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</si>
  <si>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r>
      <t xml:space="preserve">Lot No. C 14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</si>
  <si>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r>
      <t xml:space="preserve">Lot No. C 15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MOHALI</t>
    </r>
  </si>
  <si>
    <r>
      <t xml:space="preserve">Lot No. C 16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NABHA</t>
    </r>
  </si>
  <si>
    <r>
      <t xml:space="preserve">Lot No. C 17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BATHINDA</t>
    </r>
  </si>
  <si>
    <r>
      <t xml:space="preserve">Lot No. C18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</si>
  <si>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r>
      <t xml:space="preserve">Lot No. C 19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</si>
  <si>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r>
      <t xml:space="preserve">Lot No. C 20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MOGA</t>
    </r>
  </si>
  <si>
    <r>
      <t xml:space="preserve">Lot No. C 21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MANSA</t>
    </r>
  </si>
  <si>
    <r>
      <t xml:space="preserve">Lot No. C 22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</si>
  <si>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r>
      <t xml:space="preserve">Lot No. C 23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</si>
  <si>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r>
      <t xml:space="preserve">Lot No. C 24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</si>
  <si>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r>
      <t xml:space="preserve">Lot No. C 25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BATHINDA</t>
    </r>
  </si>
  <si>
    <r>
      <t xml:space="preserve">Lot No. C 26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MANSA</t>
    </r>
  </si>
  <si>
    <r>
      <t xml:space="preserve">Lot No. C 27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</si>
  <si>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r>
      <t xml:space="preserve">Lot No. C 28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</si>
  <si>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t>MS-3,DTPL-2,SARAF-3,NUCON-4,PPI-2,HR-1,JB-5             PTEL-1</t>
  </si>
  <si>
    <t>TA-1,JB-5,ECE-1,ELECTRA-1,PME-1,SAPA-3,PTEL-1 SIC-1, CAPITAL-1</t>
  </si>
  <si>
    <t>JR-1,JB-1,MARSON-1,NUCON-2</t>
  </si>
  <si>
    <t>ECO-1,JB-1</t>
  </si>
  <si>
    <t>WNP-21 (unstandard tf's)</t>
  </si>
  <si>
    <t>UTTAM-1(unstandard tf's)</t>
  </si>
  <si>
    <r>
      <t xml:space="preserve">Lot No. C 29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SANGRUR</t>
    </r>
  </si>
  <si>
    <t>01/2024.</t>
  </si>
  <si>
    <t>UTTAM-1, JR-1</t>
  </si>
  <si>
    <t>02/2024.</t>
  </si>
  <si>
    <t>SKYWAY-1, NPC-1</t>
  </si>
  <si>
    <t>04/2024.</t>
  </si>
  <si>
    <t>TA-1, PME-1</t>
  </si>
  <si>
    <t>SHIV SHAKTI-1, TA-1</t>
  </si>
  <si>
    <t>03/2024.</t>
  </si>
  <si>
    <t>PP-1, SHIVALIK-2</t>
  </si>
  <si>
    <t>PTEL-1, SICL-3, MS-2, PP-1, UTTAM-1, NUCON-4, SARAF-2, SHIVALIK-4, SHIV SAKTI-1, SKY WAY-1</t>
  </si>
  <si>
    <t>JB-1, ELECTORA-1</t>
  </si>
  <si>
    <t>PTEL-1, BGL-1,JB-1</t>
  </si>
  <si>
    <t>JB-1 PTEL-1</t>
  </si>
  <si>
    <t>WNP-15  (unstandard tf's)</t>
  </si>
  <si>
    <t>WNP-3  (unstandard tf's)</t>
  </si>
  <si>
    <r>
      <t xml:space="preserve">Lot No. C 30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NABHA</t>
    </r>
  </si>
  <si>
    <r>
      <t xml:space="preserve">Lot No. C 31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</si>
  <si>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t>ptel-3,nbg-1,ta-1,uttam-1,sicl-1,ppi-1,saraf-1,dtpl-1,jb-1</t>
  </si>
  <si>
    <t>npc-1</t>
  </si>
  <si>
    <t>jb-3,nucon-2,ptel-5,uttam-2,sapa-2,sicl-4,ta-2,saraf-2,westen-1,alfa-1-s/shakti-1</t>
  </si>
  <si>
    <t>443/1</t>
  </si>
  <si>
    <t>nucon-2,alfa-1,saraf-2,ta-3,ptel-5,pp-3,sicl-5,mcpl-3,npc-1</t>
  </si>
  <si>
    <t>443/2</t>
  </si>
  <si>
    <t>sicl-1,mcpl-2,sapa-6,pp-3,ta-5,jindal-1,npc-1,marson-1,saraf-3,s/shakti-1,jb-1</t>
  </si>
  <si>
    <t>JR 1, NUCON 2, NPC 3</t>
  </si>
  <si>
    <t>UTTAM 2, PP 2, SKYWAY 1, ECO 1,</t>
  </si>
  <si>
    <t>DURABLE 1</t>
  </si>
  <si>
    <t>JB 2, SICL 2, ARDISON 1,</t>
  </si>
  <si>
    <t>NUCON 1, SICL 1,</t>
  </si>
  <si>
    <t>63 KVA (BODY &amp; CORE)</t>
  </si>
  <si>
    <t>UTTAM 2, MANU 1, SICL 1</t>
  </si>
  <si>
    <t>JR 1(unstandard tf's)</t>
  </si>
  <si>
    <t>AGARWAL 2 (unstandard tf's)</t>
  </si>
  <si>
    <t>ARDISON 7, JB 8, ECO 4, SICL 1, NUCON 1, NBGL 1, JBK 1, MAHASHAKTI 1, SARAF 2, HR POWER 1, HITECH 2, PTEL 1, JINDAL 1</t>
  </si>
  <si>
    <r>
      <t xml:space="preserve">Lot No. C 32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</si>
  <si>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r>
      <t xml:space="preserve">Lot No. C 33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FEROZEPUR</t>
    </r>
  </si>
  <si>
    <r>
      <t xml:space="preserve">Lot No. C 34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BATHINDA</t>
    </r>
  </si>
  <si>
    <t>SKYWAY - 1</t>
  </si>
  <si>
    <t>PP-2,SARAF-2,MRN-2,UTTAM-1,NPC-1,BGL-1,DTPL-1, SKYWAY - 1</t>
  </si>
  <si>
    <t>MRN-2, TA-1, SARAF-2, PME-1, PP-2, PTEL-1, SIC-1</t>
  </si>
  <si>
    <r>
      <t xml:space="preserve">Lot No. C 35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</si>
  <si>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t>MS=01,PP=01,PTL=01</t>
  </si>
  <si>
    <t>DURABLE=01</t>
  </si>
  <si>
    <t>JR= 01,NV=01,NPC=01,JAY BEE=01</t>
  </si>
  <si>
    <t>LIBERTY=02,JAY BEE=01,SONI=02,SWASTIK=02,JK=01,BANSAL=01</t>
  </si>
  <si>
    <r>
      <t xml:space="preserve">Lot No. C 36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</si>
  <si>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t>KKK/2024/010</t>
  </si>
  <si>
    <t xml:space="preserve">SHK = 2, SEF = 2, NSL = 1, JR = 1, WNP = 1, TA = 2, UBE = 1, PP = 1, DTPL = 2, HRP = 1                                                                           </t>
  </si>
  <si>
    <t>KKK/2024/011</t>
  </si>
  <si>
    <t xml:space="preserve">SSK = 1                                                                                                        </t>
  </si>
  <si>
    <t>KKK/2024/012</t>
  </si>
  <si>
    <t xml:space="preserve">MRN = 1, SIC = 1, ASI = 2, JB = 1                                                                                                                                                 </t>
  </si>
  <si>
    <t>KKK/2024/009</t>
  </si>
  <si>
    <t xml:space="preserve">ARD = 1, JB = 2                                                                     </t>
  </si>
  <si>
    <t>KKK/2024/013</t>
  </si>
  <si>
    <t xml:space="preserve">SIC = 1                                                                                                         </t>
  </si>
  <si>
    <t>KKK/2024/014</t>
  </si>
  <si>
    <t xml:space="preserve">SIC = 4, DTPL = 1, JB = 1, NPC = 2, PP = 1, TA = 1, SEF = 1 </t>
  </si>
  <si>
    <t>KKK/2024/007</t>
  </si>
  <si>
    <t xml:space="preserve">WNP = 08 NO.  (unstandard tf's)                                                                     </t>
  </si>
  <si>
    <t>KKK/2024/008</t>
  </si>
  <si>
    <t>25 KVA (BODY &amp; CORE)</t>
  </si>
  <si>
    <r>
      <t xml:space="preserve">Lot No. C 37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</si>
  <si>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t xml:space="preserve">10 KVA                    </t>
  </si>
  <si>
    <t xml:space="preserve">NOTE : Before lifting of Transformers (From Lot no. C-1 to C-37), HT/LT copper winding coils of transformers shall be mutilated by the purchaser. </t>
  </si>
  <si>
    <t xml:space="preserve">ME LAB SHRI MUKTSAR SAHIB (Electronic Meter Scrap/E-Waste )  </t>
  </si>
  <si>
    <t>NEW</t>
  </si>
  <si>
    <t>Lot No. I-22</t>
  </si>
  <si>
    <t>1/2024.</t>
  </si>
  <si>
    <t>2/2024.</t>
  </si>
  <si>
    <t>4/2024.</t>
  </si>
  <si>
    <t>3/2024.</t>
  </si>
  <si>
    <t>6/2024.</t>
  </si>
  <si>
    <t>9/2024.</t>
  </si>
  <si>
    <t>7/2024.</t>
  </si>
  <si>
    <t>8/2024.</t>
  </si>
  <si>
    <t>5/2024.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</si>
</sst>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0"/>
    <numFmt numFmtId="183" formatCode="0.0"/>
    <numFmt numFmtId="184" formatCode="0.000"/>
    <numFmt numFmtId="185" formatCode="0.0000"/>
    <numFmt numFmtId="186" formatCode="0.00000"/>
    <numFmt numFmtId="187" formatCode="[$-409]dddd\,\ mmmm\ dd\,\ yyyy"/>
    <numFmt numFmtId="188" formatCode="[$-409]h:mm:ss\ AM/PM"/>
    <numFmt numFmtId="189" formatCode="[$-4009]dd\ mmmm\ yyyy"/>
    <numFmt numFmtId="190" formatCode="[$-F800]dddd\,\ mmmm\ dd\,\ yyyy"/>
    <numFmt numFmtId="191" formatCode="dd\-mm\-yyyy"/>
  </numFmts>
  <fonts count="8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Comic Sans MS"/>
      <family val="4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u val="single"/>
      <sz val="10"/>
      <color indexed="36"/>
      <name val="Arial"/>
      <family val="2"/>
    </font>
    <font>
      <b/>
      <sz val="9"/>
      <color indexed="36"/>
      <name val="Arial"/>
      <family val="2"/>
    </font>
    <font>
      <b/>
      <u val="single"/>
      <sz val="11"/>
      <color indexed="36"/>
      <name val="Arial"/>
      <family val="2"/>
    </font>
    <font>
      <b/>
      <u val="single"/>
      <sz val="12"/>
      <color indexed="36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17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36"/>
      <name val="Arial"/>
      <family val="2"/>
    </font>
    <font>
      <b/>
      <sz val="11"/>
      <name val="Calibri"/>
      <family val="2"/>
    </font>
    <font>
      <b/>
      <sz val="11"/>
      <color indexed="10"/>
      <name val="Times New Roman"/>
      <family val="1"/>
    </font>
    <font>
      <b/>
      <u val="single"/>
      <sz val="10"/>
      <color indexed="17"/>
      <name val="Arial"/>
      <family val="2"/>
    </font>
    <font>
      <b/>
      <u val="single"/>
      <sz val="11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u val="single"/>
      <sz val="10"/>
      <color rgb="FF7030A0"/>
      <name val="Arial"/>
      <family val="2"/>
    </font>
    <font>
      <b/>
      <sz val="9"/>
      <color rgb="FF7030A0"/>
      <name val="Arial"/>
      <family val="2"/>
    </font>
    <font>
      <b/>
      <u val="single"/>
      <sz val="11"/>
      <color rgb="FF7030A0"/>
      <name val="Arial"/>
      <family val="2"/>
    </font>
    <font>
      <b/>
      <sz val="11"/>
      <color rgb="FFFF0000"/>
      <name val="Arial"/>
      <family val="2"/>
    </font>
    <font>
      <b/>
      <u val="single"/>
      <sz val="12"/>
      <color rgb="FF7030A0"/>
      <name val="Arial"/>
      <family val="2"/>
    </font>
    <font>
      <sz val="11"/>
      <color theme="1"/>
      <name val="Times New Roman"/>
      <family val="1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1"/>
      <color rgb="FF00B05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rgb="FF00B050"/>
      <name val="Arial"/>
      <family val="2"/>
    </font>
    <font>
      <b/>
      <sz val="14"/>
      <color rgb="FFFF0000"/>
      <name val="Arial"/>
      <family val="2"/>
    </font>
    <font>
      <b/>
      <u val="single"/>
      <sz val="14"/>
      <color rgb="FF7030A0"/>
      <name val="Arial"/>
      <family val="2"/>
    </font>
    <font>
      <b/>
      <sz val="11"/>
      <color rgb="FFFF0000"/>
      <name val="Times New Roman"/>
      <family val="1"/>
    </font>
    <font>
      <b/>
      <u val="single"/>
      <sz val="10"/>
      <color rgb="FF00B050"/>
      <name val="Arial"/>
      <family val="2"/>
    </font>
    <font>
      <b/>
      <u val="single"/>
      <sz val="11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69" fillId="0" borderId="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center" wrapText="1"/>
    </xf>
    <xf numFmtId="0" fontId="70" fillId="0" borderId="14" xfId="0" applyFont="1" applyFill="1" applyBorder="1" applyAlignment="1">
      <alignment vertical="center"/>
    </xf>
    <xf numFmtId="184" fontId="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vertical="center"/>
    </xf>
    <xf numFmtId="0" fontId="70" fillId="0" borderId="16" xfId="0" applyFont="1" applyFill="1" applyBorder="1" applyAlignment="1">
      <alignment vertical="center"/>
    </xf>
    <xf numFmtId="0" fontId="71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left" vertical="center" wrapText="1"/>
    </xf>
    <xf numFmtId="0" fontId="72" fillId="0" borderId="1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center" vertical="top"/>
    </xf>
    <xf numFmtId="0" fontId="76" fillId="0" borderId="0" xfId="0" applyFont="1" applyAlignment="1">
      <alignment horizontal="center" vertical="top"/>
    </xf>
    <xf numFmtId="0" fontId="76" fillId="0" borderId="0" xfId="0" applyFont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 vertical="top"/>
    </xf>
    <xf numFmtId="1" fontId="77" fillId="0" borderId="0" xfId="0" applyNumberFormat="1" applyFont="1" applyBorder="1" applyAlignment="1">
      <alignment horizontal="center"/>
    </xf>
    <xf numFmtId="0" fontId="78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7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8" fillId="0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184" fontId="73" fillId="0" borderId="14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184" fontId="9" fillId="0" borderId="13" xfId="0" applyNumberFormat="1" applyFont="1" applyFill="1" applyBorder="1" applyAlignment="1">
      <alignment horizontal="center" vertical="center" wrapText="1"/>
    </xf>
    <xf numFmtId="184" fontId="9" fillId="0" borderId="13" xfId="0" applyNumberFormat="1" applyFont="1" applyFill="1" applyBorder="1" applyAlignment="1">
      <alignment horizontal="center"/>
    </xf>
    <xf numFmtId="0" fontId="73" fillId="0" borderId="16" xfId="0" applyFont="1" applyFill="1" applyBorder="1" applyAlignment="1">
      <alignment horizontal="center" vertical="center" wrapText="1"/>
    </xf>
    <xf numFmtId="184" fontId="78" fillId="0" borderId="13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4" fontId="73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84" fontId="73" fillId="0" borderId="15" xfId="0" applyNumberFormat="1" applyFont="1" applyFill="1" applyBorder="1" applyAlignment="1">
      <alignment horizontal="center" vertical="center" wrapText="1"/>
    </xf>
    <xf numFmtId="184" fontId="9" fillId="0" borderId="16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84" fontId="73" fillId="0" borderId="0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top" wrapText="1"/>
    </xf>
    <xf numFmtId="0" fontId="73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wrapText="1"/>
    </xf>
    <xf numFmtId="184" fontId="73" fillId="0" borderId="13" xfId="0" applyNumberFormat="1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center" vertical="top" wrapText="1"/>
    </xf>
    <xf numFmtId="184" fontId="9" fillId="0" borderId="15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/>
    </xf>
    <xf numFmtId="0" fontId="76" fillId="0" borderId="13" xfId="0" applyFont="1" applyFill="1" applyBorder="1" applyAlignment="1">
      <alignment horizontal="center" vertical="center" wrapText="1"/>
    </xf>
    <xf numFmtId="184" fontId="9" fillId="0" borderId="13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wrapText="1"/>
    </xf>
    <xf numFmtId="184" fontId="9" fillId="0" borderId="21" xfId="0" applyNumberFormat="1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center"/>
    </xf>
    <xf numFmtId="184" fontId="78" fillId="0" borderId="21" xfId="0" applyNumberFormat="1" applyFont="1" applyFill="1" applyBorder="1" applyAlignment="1">
      <alignment horizontal="center"/>
    </xf>
    <xf numFmtId="0" fontId="78" fillId="0" borderId="16" xfId="0" applyFont="1" applyFill="1" applyBorder="1" applyAlignment="1">
      <alignment horizontal="center" vertical="center"/>
    </xf>
    <xf numFmtId="0" fontId="80" fillId="0" borderId="13" xfId="0" applyFont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79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/>
    </xf>
    <xf numFmtId="0" fontId="74" fillId="0" borderId="16" xfId="0" applyFont="1" applyFill="1" applyBorder="1" applyAlignment="1">
      <alignment vertical="center"/>
    </xf>
    <xf numFmtId="0" fontId="74" fillId="0" borderId="14" xfId="0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/>
    </xf>
    <xf numFmtId="0" fontId="81" fillId="0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/>
    </xf>
    <xf numFmtId="17" fontId="9" fillId="0" borderId="13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Alignment="1">
      <alignment horizontal="left" vertical="top" wrapText="1"/>
    </xf>
    <xf numFmtId="0" fontId="9" fillId="0" borderId="13" xfId="57" applyFont="1" applyFill="1" applyBorder="1" applyAlignment="1">
      <alignment horizontal="center" vertical="center" wrapText="1"/>
      <protection/>
    </xf>
    <xf numFmtId="0" fontId="9" fillId="0" borderId="13" xfId="57" applyFont="1" applyFill="1" applyBorder="1" applyAlignment="1">
      <alignment horizontal="center" vertical="center"/>
      <protection/>
    </xf>
    <xf numFmtId="0" fontId="9" fillId="32" borderId="13" xfId="57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/>
    </xf>
    <xf numFmtId="0" fontId="9" fillId="0" borderId="13" xfId="57" applyFont="1" applyBorder="1" applyAlignment="1">
      <alignment horizontal="center" vertical="center"/>
      <protection/>
    </xf>
    <xf numFmtId="0" fontId="9" fillId="0" borderId="13" xfId="57" applyFont="1" applyBorder="1" applyAlignment="1">
      <alignment horizontal="center" vertical="center" wrapText="1"/>
      <protection/>
    </xf>
    <xf numFmtId="184" fontId="73" fillId="0" borderId="15" xfId="0" applyNumberFormat="1" applyFont="1" applyFill="1" applyBorder="1" applyAlignment="1">
      <alignment horizontal="right" vertical="center" wrapText="1"/>
    </xf>
    <xf numFmtId="184" fontId="9" fillId="0" borderId="15" xfId="0" applyNumberFormat="1" applyFont="1" applyFill="1" applyBorder="1" applyAlignment="1">
      <alignment horizontal="center"/>
    </xf>
    <xf numFmtId="184" fontId="3" fillId="0" borderId="0" xfId="0" applyNumberFormat="1" applyFont="1" applyFill="1" applyAlignment="1">
      <alignment vertical="top" wrapText="1"/>
    </xf>
    <xf numFmtId="0" fontId="82" fillId="0" borderId="0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left" vertical="top" wrapText="1"/>
    </xf>
    <xf numFmtId="184" fontId="73" fillId="0" borderId="23" xfId="0" applyNumberFormat="1" applyFont="1" applyFill="1" applyBorder="1" applyAlignment="1">
      <alignment horizontal="center" vertical="top" wrapText="1"/>
    </xf>
    <xf numFmtId="0" fontId="9" fillId="33" borderId="13" xfId="57" applyFont="1" applyFill="1" applyBorder="1" applyAlignment="1">
      <alignment horizontal="center" vertical="center"/>
      <protection/>
    </xf>
    <xf numFmtId="0" fontId="73" fillId="0" borderId="13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75" fillId="0" borderId="13" xfId="0" applyFont="1" applyBorder="1" applyAlignment="1">
      <alignment/>
    </xf>
    <xf numFmtId="184" fontId="69" fillId="0" borderId="0" xfId="0" applyNumberFormat="1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/>
    </xf>
    <xf numFmtId="0" fontId="73" fillId="33" borderId="0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top" wrapText="1"/>
    </xf>
    <xf numFmtId="0" fontId="73" fillId="0" borderId="0" xfId="0" applyFont="1" applyFill="1" applyBorder="1" applyAlignment="1">
      <alignment horizontal="center" vertical="top" wrapText="1"/>
    </xf>
    <xf numFmtId="184" fontId="73" fillId="0" borderId="0" xfId="0" applyNumberFormat="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184" fontId="9" fillId="0" borderId="0" xfId="0" applyNumberFormat="1" applyFont="1" applyFill="1" applyBorder="1" applyAlignment="1">
      <alignment horizontal="center" vertical="top" wrapText="1"/>
    </xf>
    <xf numFmtId="0" fontId="75" fillId="0" borderId="0" xfId="0" applyFont="1" applyBorder="1" applyAlignment="1">
      <alignment/>
    </xf>
    <xf numFmtId="0" fontId="0" fillId="0" borderId="0" xfId="0" applyFont="1" applyFill="1" applyBorder="1" applyAlignment="1">
      <alignment vertical="top"/>
    </xf>
    <xf numFmtId="0" fontId="14" fillId="0" borderId="18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2" fontId="9" fillId="0" borderId="13" xfId="0" applyNumberFormat="1" applyFont="1" applyFill="1" applyBorder="1" applyAlignment="1">
      <alignment horizontal="center" vertical="top" wrapText="1"/>
    </xf>
    <xf numFmtId="184" fontId="73" fillId="0" borderId="25" xfId="0" applyNumberFormat="1" applyFont="1" applyFill="1" applyBorder="1" applyAlignment="1">
      <alignment horizontal="center" vertical="top" wrapText="1"/>
    </xf>
    <xf numFmtId="0" fontId="69" fillId="0" borderId="15" xfId="0" applyFont="1" applyFill="1" applyBorder="1" applyAlignment="1">
      <alignment horizontal="center" vertical="top" wrapText="1"/>
    </xf>
    <xf numFmtId="0" fontId="84" fillId="0" borderId="13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top" wrapText="1"/>
    </xf>
    <xf numFmtId="2" fontId="78" fillId="0" borderId="0" xfId="0" applyNumberFormat="1" applyFont="1" applyFill="1" applyBorder="1" applyAlignment="1">
      <alignment horizontal="center" vertical="top" wrapText="1"/>
    </xf>
    <xf numFmtId="0" fontId="78" fillId="0" borderId="0" xfId="0" applyFont="1" applyBorder="1" applyAlignment="1">
      <alignment horizontal="center" vertical="top" wrapText="1"/>
    </xf>
    <xf numFmtId="0" fontId="78" fillId="0" borderId="13" xfId="0" applyFont="1" applyBorder="1" applyAlignment="1">
      <alignment horizontal="center"/>
    </xf>
    <xf numFmtId="184" fontId="78" fillId="0" borderId="15" xfId="0" applyNumberFormat="1" applyFont="1" applyFill="1" applyBorder="1" applyAlignment="1">
      <alignment horizontal="center"/>
    </xf>
    <xf numFmtId="1" fontId="73" fillId="0" borderId="0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84" fontId="73" fillId="0" borderId="0" xfId="0" applyNumberFormat="1" applyFont="1" applyFill="1" applyBorder="1" applyAlignment="1">
      <alignment horizontal="center" vertical="center" wrapText="1"/>
    </xf>
    <xf numFmtId="184" fontId="73" fillId="0" borderId="26" xfId="0" applyNumberFormat="1" applyFont="1" applyFill="1" applyBorder="1" applyAlignment="1">
      <alignment horizontal="center" vertical="center" wrapText="1"/>
    </xf>
    <xf numFmtId="184" fontId="76" fillId="0" borderId="12" xfId="0" applyNumberFormat="1" applyFont="1" applyFill="1" applyBorder="1" applyAlignment="1">
      <alignment horizontal="center" vertical="center" wrapText="1"/>
    </xf>
    <xf numFmtId="1" fontId="78" fillId="0" borderId="16" xfId="0" applyNumberFormat="1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4" fontId="9" fillId="0" borderId="11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 wrapText="1"/>
    </xf>
    <xf numFmtId="184" fontId="73" fillId="0" borderId="16" xfId="0" applyNumberFormat="1" applyFont="1" applyFill="1" applyBorder="1" applyAlignment="1">
      <alignment horizontal="center" vertical="center" wrapText="1"/>
    </xf>
    <xf numFmtId="184" fontId="9" fillId="0" borderId="11" xfId="0" applyNumberFormat="1" applyFont="1" applyFill="1" applyBorder="1" applyAlignment="1">
      <alignment horizontal="center" vertical="center" wrapText="1"/>
    </xf>
    <xf numFmtId="184" fontId="78" fillId="0" borderId="11" xfId="0" applyNumberFormat="1" applyFont="1" applyFill="1" applyBorder="1" applyAlignment="1">
      <alignment horizontal="center"/>
    </xf>
    <xf numFmtId="184" fontId="73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84" fontId="78" fillId="0" borderId="16" xfId="0" applyNumberFormat="1" applyFont="1" applyFill="1" applyBorder="1" applyAlignment="1">
      <alignment horizontal="center"/>
    </xf>
    <xf numFmtId="184" fontId="73" fillId="0" borderId="12" xfId="0" applyNumberFormat="1" applyFont="1" applyFill="1" applyBorder="1" applyAlignment="1">
      <alignment horizontal="center" vertical="center" wrapText="1"/>
    </xf>
    <xf numFmtId="184" fontId="78" fillId="0" borderId="16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7" fontId="9" fillId="32" borderId="13" xfId="0" applyNumberFormat="1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7" fontId="9" fillId="0" borderId="20" xfId="0" applyNumberFormat="1" applyFont="1" applyFill="1" applyBorder="1" applyAlignment="1">
      <alignment horizontal="center" vertical="center" wrapText="1"/>
    </xf>
    <xf numFmtId="184" fontId="9" fillId="0" borderId="21" xfId="0" applyNumberFormat="1" applyFont="1" applyFill="1" applyBorder="1" applyAlignment="1">
      <alignment horizontal="center"/>
    </xf>
    <xf numFmtId="184" fontId="9" fillId="0" borderId="12" xfId="0" applyNumberFormat="1" applyFont="1" applyFill="1" applyBorder="1" applyAlignment="1">
      <alignment horizontal="center" vertical="center" wrapText="1"/>
    </xf>
    <xf numFmtId="184" fontId="2" fillId="0" borderId="13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 vertical="center"/>
    </xf>
    <xf numFmtId="0" fontId="78" fillId="0" borderId="13" xfId="57" applyFont="1" applyFill="1" applyBorder="1" applyAlignment="1">
      <alignment horizontal="center" vertical="center"/>
      <protection/>
    </xf>
    <xf numFmtId="0" fontId="73" fillId="0" borderId="13" xfId="57" applyFont="1" applyFill="1" applyBorder="1" applyAlignment="1">
      <alignment horizontal="center" vertical="center"/>
      <protection/>
    </xf>
    <xf numFmtId="0" fontId="0" fillId="11" borderId="0" xfId="0" applyFont="1" applyFill="1" applyAlignment="1">
      <alignment/>
    </xf>
    <xf numFmtId="184" fontId="0" fillId="11" borderId="0" xfId="0" applyNumberFormat="1" applyFill="1" applyAlignment="1">
      <alignment/>
    </xf>
    <xf numFmtId="184" fontId="13" fillId="0" borderId="0" xfId="0" applyNumberFormat="1" applyFont="1" applyFill="1" applyAlignment="1">
      <alignment vertical="top" wrapText="1"/>
    </xf>
    <xf numFmtId="0" fontId="73" fillId="0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73" fillId="0" borderId="2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32" borderId="13" xfId="0" applyFont="1" applyFill="1" applyBorder="1" applyAlignment="1">
      <alignment horizontal="center" vertical="center"/>
    </xf>
    <xf numFmtId="0" fontId="9" fillId="32" borderId="27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left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184" fontId="78" fillId="0" borderId="15" xfId="0" applyNumberFormat="1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left" vertical="top" wrapText="1"/>
    </xf>
    <xf numFmtId="0" fontId="74" fillId="0" borderId="16" xfId="0" applyFont="1" applyFill="1" applyBorder="1" applyAlignment="1">
      <alignment horizontal="left" vertical="top" wrapText="1"/>
    </xf>
    <xf numFmtId="0" fontId="78" fillId="0" borderId="13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13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/>
      <protection/>
    </xf>
    <xf numFmtId="0" fontId="9" fillId="33" borderId="13" xfId="58" applyFont="1" applyFill="1" applyBorder="1" applyAlignment="1">
      <alignment horizontal="center" vertical="center"/>
      <protection/>
    </xf>
    <xf numFmtId="0" fontId="9" fillId="0" borderId="13" xfId="58" applyFont="1" applyBorder="1" applyAlignment="1">
      <alignment horizontal="center" vertical="center" wrapText="1"/>
      <protection/>
    </xf>
    <xf numFmtId="0" fontId="9" fillId="0" borderId="13" xfId="58" applyFont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78" fillId="0" borderId="13" xfId="0" applyFont="1" applyBorder="1" applyAlignment="1">
      <alignment horizontal="center" vertical="top" wrapText="1"/>
    </xf>
    <xf numFmtId="184" fontId="78" fillId="0" borderId="13" xfId="0" applyNumberFormat="1" applyFont="1" applyFill="1" applyBorder="1" applyAlignment="1">
      <alignment horizontal="center" vertical="top" wrapText="1"/>
    </xf>
    <xf numFmtId="184" fontId="75" fillId="0" borderId="13" xfId="0" applyNumberFormat="1" applyFont="1" applyBorder="1" applyAlignment="1">
      <alignment/>
    </xf>
    <xf numFmtId="0" fontId="73" fillId="0" borderId="13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184" fontId="85" fillId="0" borderId="15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top" wrapText="1"/>
    </xf>
    <xf numFmtId="0" fontId="73" fillId="0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184" fontId="9" fillId="0" borderId="20" xfId="0" applyNumberFormat="1" applyFont="1" applyFill="1" applyBorder="1" applyAlignment="1">
      <alignment horizontal="center" vertical="center" wrapText="1"/>
    </xf>
    <xf numFmtId="184" fontId="9" fillId="0" borderId="20" xfId="0" applyNumberFormat="1" applyFont="1" applyFill="1" applyBorder="1" applyAlignment="1">
      <alignment horizontal="center" vertical="top" wrapText="1"/>
    </xf>
    <xf numFmtId="0" fontId="9" fillId="32" borderId="13" xfId="58" applyFont="1" applyFill="1" applyBorder="1" applyAlignment="1">
      <alignment horizontal="center" vertical="center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9" fillId="32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184" fontId="9" fillId="0" borderId="1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/>
    </xf>
    <xf numFmtId="0" fontId="78" fillId="0" borderId="20" xfId="0" applyFont="1" applyFill="1" applyBorder="1" applyAlignment="1">
      <alignment horizontal="center" vertical="center"/>
    </xf>
    <xf numFmtId="0" fontId="78" fillId="0" borderId="20" xfId="0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center"/>
    </xf>
    <xf numFmtId="0" fontId="78" fillId="33" borderId="13" xfId="0" applyFont="1" applyFill="1" applyBorder="1" applyAlignment="1">
      <alignment horizontal="center"/>
    </xf>
    <xf numFmtId="0" fontId="78" fillId="32" borderId="13" xfId="0" applyFont="1" applyFill="1" applyBorder="1" applyAlignment="1">
      <alignment horizontal="center" vertical="center" wrapText="1"/>
    </xf>
    <xf numFmtId="0" fontId="78" fillId="32" borderId="13" xfId="0" applyFont="1" applyFill="1" applyBorder="1" applyAlignment="1">
      <alignment horizontal="center" vertical="center"/>
    </xf>
    <xf numFmtId="0" fontId="78" fillId="32" borderId="20" xfId="0" applyFont="1" applyFill="1" applyBorder="1" applyAlignment="1">
      <alignment horizontal="center" vertical="center"/>
    </xf>
    <xf numFmtId="0" fontId="78" fillId="32" borderId="20" xfId="0" applyFont="1" applyFill="1" applyBorder="1" applyAlignment="1">
      <alignment horizontal="center" vertical="center" wrapText="1"/>
    </xf>
    <xf numFmtId="0" fontId="78" fillId="32" borderId="27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8" fillId="0" borderId="20" xfId="0" applyFont="1" applyFill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0" fontId="78" fillId="0" borderId="13" xfId="58" applyFont="1" applyFill="1" applyBorder="1" applyAlignment="1">
      <alignment horizontal="center" vertical="center"/>
      <protection/>
    </xf>
    <xf numFmtId="0" fontId="78" fillId="32" borderId="13" xfId="58" applyFont="1" applyFill="1" applyBorder="1" applyAlignment="1">
      <alignment horizontal="center" vertical="center"/>
      <protection/>
    </xf>
    <xf numFmtId="0" fontId="78" fillId="0" borderId="13" xfId="58" applyFont="1" applyBorder="1" applyAlignment="1">
      <alignment horizontal="center" vertical="center" wrapText="1"/>
      <protection/>
    </xf>
    <xf numFmtId="0" fontId="78" fillId="32" borderId="13" xfId="57" applyFont="1" applyFill="1" applyBorder="1" applyAlignment="1">
      <alignment horizontal="center" vertical="center"/>
      <protection/>
    </xf>
    <xf numFmtId="0" fontId="78" fillId="0" borderId="13" xfId="57" applyFont="1" applyBorder="1" applyAlignment="1">
      <alignment horizontal="center" vertical="center" wrapText="1"/>
      <protection/>
    </xf>
    <xf numFmtId="0" fontId="78" fillId="0" borderId="13" xfId="57" applyFont="1" applyBorder="1" applyAlignment="1">
      <alignment horizontal="center" vertical="center"/>
      <protection/>
    </xf>
    <xf numFmtId="0" fontId="78" fillId="0" borderId="20" xfId="0" applyFont="1" applyBorder="1" applyAlignment="1">
      <alignment horizontal="center" vertical="center"/>
    </xf>
    <xf numFmtId="0" fontId="78" fillId="32" borderId="17" xfId="57" applyFont="1" applyFill="1" applyBorder="1" applyAlignment="1">
      <alignment horizontal="center" vertical="center"/>
      <protection/>
    </xf>
    <xf numFmtId="0" fontId="78" fillId="33" borderId="13" xfId="57" applyFont="1" applyFill="1" applyBorder="1" applyAlignment="1">
      <alignment horizontal="center" vertical="center"/>
      <protection/>
    </xf>
    <xf numFmtId="0" fontId="75" fillId="0" borderId="14" xfId="0" applyFont="1" applyBorder="1" applyAlignment="1">
      <alignment/>
    </xf>
    <xf numFmtId="0" fontId="73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9" fillId="0" borderId="20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top" wrapText="1"/>
    </xf>
    <xf numFmtId="184" fontId="9" fillId="0" borderId="13" xfId="0" applyNumberFormat="1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left" vertical="center" wrapText="1"/>
    </xf>
    <xf numFmtId="0" fontId="74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left" vertical="center" wrapText="1"/>
    </xf>
    <xf numFmtId="0" fontId="72" fillId="0" borderId="16" xfId="0" applyFont="1" applyFill="1" applyBorder="1" applyAlignment="1">
      <alignment horizontal="left" vertical="center" wrapText="1"/>
    </xf>
    <xf numFmtId="0" fontId="74" fillId="0" borderId="13" xfId="0" applyFont="1" applyFill="1" applyBorder="1" applyAlignment="1">
      <alignment horizontal="justify" vertical="top" wrapText="1"/>
    </xf>
    <xf numFmtId="0" fontId="74" fillId="0" borderId="21" xfId="0" applyFont="1" applyFill="1" applyBorder="1" applyAlignment="1">
      <alignment horizontal="justify" vertical="top" wrapText="1"/>
    </xf>
    <xf numFmtId="0" fontId="83" fillId="0" borderId="12" xfId="0" applyFont="1" applyFill="1" applyBorder="1" applyAlignment="1">
      <alignment horizontal="center" vertical="top" wrapText="1"/>
    </xf>
    <xf numFmtId="0" fontId="83" fillId="0" borderId="19" xfId="0" applyFont="1" applyFill="1" applyBorder="1" applyAlignment="1">
      <alignment horizontal="center" vertical="top" wrapText="1"/>
    </xf>
    <xf numFmtId="0" fontId="72" fillId="0" borderId="12" xfId="0" applyFont="1" applyFill="1" applyBorder="1" applyAlignment="1">
      <alignment horizontal="center" vertical="top" wrapText="1"/>
    </xf>
    <xf numFmtId="0" fontId="73" fillId="0" borderId="28" xfId="0" applyFont="1" applyFill="1" applyBorder="1" applyAlignment="1">
      <alignment horizontal="center" vertical="top" wrapText="1"/>
    </xf>
    <xf numFmtId="0" fontId="73" fillId="0" borderId="29" xfId="0" applyFont="1" applyFill="1" applyBorder="1" applyAlignment="1">
      <alignment horizontal="center" vertical="top" wrapText="1"/>
    </xf>
    <xf numFmtId="0" fontId="72" fillId="0" borderId="16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73" fillId="0" borderId="30" xfId="0" applyFont="1" applyFill="1" applyBorder="1" applyAlignment="1">
      <alignment horizontal="center" vertical="top" wrapText="1"/>
    </xf>
    <xf numFmtId="0" fontId="73" fillId="0" borderId="31" xfId="0" applyFont="1" applyFill="1" applyBorder="1" applyAlignment="1">
      <alignment horizontal="center" vertical="top" wrapText="1"/>
    </xf>
    <xf numFmtId="0" fontId="72" fillId="0" borderId="17" xfId="0" applyFont="1" applyFill="1" applyBorder="1" applyAlignment="1">
      <alignment horizontal="left" vertical="top" wrapText="1"/>
    </xf>
    <xf numFmtId="0" fontId="72" fillId="0" borderId="18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72" fillId="0" borderId="15" xfId="0" applyFont="1" applyFill="1" applyBorder="1" applyAlignment="1">
      <alignment horizontal="left" vertical="top" wrapText="1"/>
    </xf>
    <xf numFmtId="0" fontId="72" fillId="0" borderId="16" xfId="0" applyFont="1" applyFill="1" applyBorder="1" applyAlignment="1">
      <alignment horizontal="left" vertical="top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72" fillId="0" borderId="32" xfId="0" applyFont="1" applyFill="1" applyBorder="1" applyAlignment="1">
      <alignment horizontal="center" vertical="top" wrapText="1"/>
    </xf>
    <xf numFmtId="0" fontId="72" fillId="0" borderId="33" xfId="0" applyFont="1" applyFill="1" applyBorder="1" applyAlignment="1">
      <alignment horizontal="center" vertical="top" wrapText="1"/>
    </xf>
    <xf numFmtId="0" fontId="74" fillId="0" borderId="15" xfId="0" applyFont="1" applyFill="1" applyBorder="1" applyAlignment="1">
      <alignment horizontal="left" vertical="center"/>
    </xf>
    <xf numFmtId="0" fontId="74" fillId="0" borderId="16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3" fillId="0" borderId="20" xfId="0" applyFont="1" applyFill="1" applyBorder="1" applyAlignment="1">
      <alignment horizontal="center" vertical="center" wrapText="1"/>
    </xf>
    <xf numFmtId="0" fontId="73" fillId="0" borderId="27" xfId="0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justify" vertical="top" wrapText="1"/>
    </xf>
    <xf numFmtId="0" fontId="74" fillId="0" borderId="16" xfId="0" applyFont="1" applyFill="1" applyBorder="1" applyAlignment="1">
      <alignment horizontal="justify" vertical="top" wrapText="1"/>
    </xf>
    <xf numFmtId="0" fontId="72" fillId="0" borderId="15" xfId="0" applyFont="1" applyFill="1" applyBorder="1" applyAlignment="1">
      <alignment horizontal="left" wrapText="1"/>
    </xf>
    <xf numFmtId="0" fontId="72" fillId="0" borderId="16" xfId="0" applyFont="1" applyFill="1" applyBorder="1" applyAlignment="1">
      <alignment horizontal="left" wrapText="1"/>
    </xf>
    <xf numFmtId="0" fontId="74" fillId="0" borderId="15" xfId="0" applyFont="1" applyFill="1" applyBorder="1" applyAlignment="1">
      <alignment horizontal="left" vertical="top" wrapText="1"/>
    </xf>
    <xf numFmtId="0" fontId="74" fillId="0" borderId="16" xfId="0" applyFont="1" applyFill="1" applyBorder="1" applyAlignment="1">
      <alignment horizontal="left" vertical="top" wrapText="1"/>
    </xf>
    <xf numFmtId="184" fontId="9" fillId="0" borderId="16" xfId="0" applyNumberFormat="1" applyFont="1" applyFill="1" applyBorder="1" applyAlignment="1">
      <alignment horizontal="center" vertical="center" wrapText="1"/>
    </xf>
    <xf numFmtId="184" fontId="9" fillId="0" borderId="15" xfId="0" applyNumberFormat="1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vertical="center" wrapText="1"/>
    </xf>
    <xf numFmtId="0" fontId="72" fillId="0" borderId="16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left" vertical="center" wrapText="1"/>
    </xf>
    <xf numFmtId="0" fontId="73" fillId="0" borderId="28" xfId="0" applyFont="1" applyFill="1" applyBorder="1" applyAlignment="1">
      <alignment horizontal="center" vertical="center" wrapText="1"/>
    </xf>
    <xf numFmtId="0" fontId="73" fillId="0" borderId="29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78" fillId="0" borderId="13" xfId="58" applyFont="1" applyFill="1" applyBorder="1" applyAlignment="1">
      <alignment horizontal="center" vertical="center" wrapText="1"/>
      <protection/>
    </xf>
    <xf numFmtId="0" fontId="78" fillId="0" borderId="13" xfId="57" applyFont="1" applyFill="1" applyBorder="1" applyAlignment="1">
      <alignment horizontal="center" vertical="center" wrapText="1"/>
      <protection/>
    </xf>
    <xf numFmtId="0" fontId="78" fillId="0" borderId="14" xfId="0" applyFont="1" applyFill="1" applyBorder="1" applyAlignment="1">
      <alignment horizontal="center" vertical="center"/>
    </xf>
    <xf numFmtId="0" fontId="78" fillId="0" borderId="24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17"/>
  <sheetViews>
    <sheetView tabSelected="1" view="pageBreakPreview" zoomScaleNormal="70" zoomScaleSheetLayoutView="100" zoomScalePageLayoutView="70" workbookViewId="0" topLeftCell="E5">
      <selection activeCell="H6" sqref="H6"/>
    </sheetView>
  </sheetViews>
  <sheetFormatPr defaultColWidth="9.140625" defaultRowHeight="12.75"/>
  <cols>
    <col min="1" max="1" width="16.140625" style="5" customWidth="1"/>
    <col min="2" max="2" width="15.421875" style="2" customWidth="1"/>
    <col min="3" max="3" width="25.8515625" style="3" customWidth="1"/>
    <col min="4" max="4" width="70.421875" style="3" customWidth="1"/>
    <col min="5" max="5" width="29.28125" style="2" customWidth="1"/>
    <col min="6" max="6" width="10.00390625" style="1" hidden="1" customWidth="1"/>
    <col min="7" max="7" width="37.00390625" style="1" hidden="1" customWidth="1"/>
    <col min="8" max="8" width="159.57421875" style="99" customWidth="1"/>
    <col min="9" max="18" width="9.140625" style="1" hidden="1" customWidth="1"/>
    <col min="19" max="20" width="9.140625" style="1" customWidth="1"/>
    <col min="21" max="16384" width="9.140625" style="1" customWidth="1"/>
  </cols>
  <sheetData>
    <row r="1" spans="1:5" ht="27" customHeight="1">
      <c r="A1" s="346" t="s">
        <v>72</v>
      </c>
      <c r="B1" s="347"/>
      <c r="C1" s="347"/>
      <c r="D1" s="347"/>
      <c r="E1" s="347"/>
    </row>
    <row r="2" spans="1:4" ht="19.5" customHeight="1">
      <c r="A2" s="348" t="s">
        <v>9</v>
      </c>
      <c r="B2" s="349"/>
      <c r="C2" s="349"/>
      <c r="D2" s="4" t="s">
        <v>585</v>
      </c>
    </row>
    <row r="3" spans="1:4" ht="16.5" customHeight="1">
      <c r="A3" s="348" t="s">
        <v>10</v>
      </c>
      <c r="B3" s="349"/>
      <c r="C3" s="349"/>
      <c r="D3" s="4" t="s">
        <v>586</v>
      </c>
    </row>
    <row r="4" spans="1:5" ht="31.5" customHeight="1">
      <c r="A4" s="350" t="s">
        <v>232</v>
      </c>
      <c r="B4" s="351"/>
      <c r="C4" s="351"/>
      <c r="D4" s="351"/>
      <c r="E4" s="351"/>
    </row>
    <row r="5" spans="1:8" ht="19.5" customHeight="1">
      <c r="A5" s="352" t="s">
        <v>0</v>
      </c>
      <c r="B5" s="353"/>
      <c r="C5" s="353"/>
      <c r="D5" s="353"/>
      <c r="E5" s="65" t="s">
        <v>7</v>
      </c>
      <c r="F5" s="120"/>
      <c r="H5" s="99">
        <v>0</v>
      </c>
    </row>
    <row r="6" spans="1:8" ht="17.25" customHeight="1">
      <c r="A6" s="304" t="s">
        <v>74</v>
      </c>
      <c r="B6" s="307"/>
      <c r="C6" s="306" t="s">
        <v>145</v>
      </c>
      <c r="D6" s="306"/>
      <c r="E6" s="46">
        <v>4.562</v>
      </c>
      <c r="H6" s="93" t="str">
        <f>CONCATENATE("Aluminium Conductor Steel Reinforced scrap, Lying at ",C6,". Quantity in MT - ",E6,)</f>
        <v>Aluminium Conductor Steel Reinforced scrap, Lying at Outlet store Shri Muktsar sahib. Quantity in MT - 4.562</v>
      </c>
    </row>
    <row r="7" spans="1:8" ht="17.25" customHeight="1">
      <c r="A7" s="304" t="s">
        <v>114</v>
      </c>
      <c r="B7" s="307"/>
      <c r="C7" s="306" t="s">
        <v>200</v>
      </c>
      <c r="D7" s="306"/>
      <c r="E7" s="46">
        <v>7.579</v>
      </c>
      <c r="H7" s="93" t="str">
        <f aca="true" t="shared" si="0" ref="H7:H24">CONCATENATE("Aluminium Conductor Steel Reinforced scrap, Lying at ",C7,". Quantity in MT - ",E7,)</f>
        <v>Aluminium Conductor Steel Reinforced scrap, Lying at CS Kotkapura  (.237 MT Intermingle). Quantity in MT - 7.579</v>
      </c>
    </row>
    <row r="8" spans="1:8" ht="17.25" customHeight="1">
      <c r="A8" s="304" t="s">
        <v>161</v>
      </c>
      <c r="B8" s="307"/>
      <c r="C8" s="306" t="s">
        <v>513</v>
      </c>
      <c r="D8" s="306"/>
      <c r="E8" s="46">
        <v>8</v>
      </c>
      <c r="H8" s="93" t="str">
        <f t="shared" si="0"/>
        <v>Aluminium Conductor Steel Reinforced scrap, Lying at CS Kotkapura . Quantity in MT - 8</v>
      </c>
    </row>
    <row r="9" spans="1:8" ht="17.25" customHeight="1">
      <c r="A9" s="304" t="s">
        <v>178</v>
      </c>
      <c r="B9" s="307"/>
      <c r="C9" s="306" t="s">
        <v>260</v>
      </c>
      <c r="D9" s="306"/>
      <c r="E9" s="46">
        <v>2.834</v>
      </c>
      <c r="H9" s="93" t="str">
        <f t="shared" si="0"/>
        <v>Aluminium Conductor Steel Reinforced scrap, Lying at Outlet store Fazilka. Quantity in MT - 2.834</v>
      </c>
    </row>
    <row r="10" spans="1:8" ht="17.25" customHeight="1">
      <c r="A10" s="304" t="s">
        <v>162</v>
      </c>
      <c r="B10" s="307"/>
      <c r="C10" s="306" t="s">
        <v>578</v>
      </c>
      <c r="D10" s="306"/>
      <c r="E10" s="46">
        <v>7.356</v>
      </c>
      <c r="G10" s="120"/>
      <c r="H10" s="93" t="str">
        <f t="shared" si="0"/>
        <v>Aluminium Conductor Steel Reinforced scrap, Lying at CS Bathinda (.135 MT intermingle). Quantity in MT - 7.356</v>
      </c>
    </row>
    <row r="11" spans="1:8" ht="17.25" customHeight="1">
      <c r="A11" s="304" t="s">
        <v>179</v>
      </c>
      <c r="B11" s="307"/>
      <c r="C11" s="313" t="s">
        <v>579</v>
      </c>
      <c r="D11" s="313"/>
      <c r="E11" s="262">
        <v>5.79</v>
      </c>
      <c r="H11" s="93" t="str">
        <f t="shared" si="0"/>
        <v>Aluminium Conductor Steel Reinforced scrap, Lying at Outlet store Bhagta Bhai Ka (.18 MT Intermingle). Quantity in MT - 5.79</v>
      </c>
    </row>
    <row r="12" spans="1:8" ht="17.25" customHeight="1">
      <c r="A12" s="304" t="s">
        <v>163</v>
      </c>
      <c r="B12" s="307"/>
      <c r="C12" s="306" t="s">
        <v>180</v>
      </c>
      <c r="D12" s="306"/>
      <c r="E12" s="46">
        <v>5.096</v>
      </c>
      <c r="H12" s="93" t="str">
        <f t="shared" si="0"/>
        <v>Aluminium Conductor Steel Reinforced scrap, Lying at Outlet store Patran. Quantity in MT - 5.096</v>
      </c>
    </row>
    <row r="13" spans="1:8" ht="17.25" customHeight="1">
      <c r="A13" s="304" t="s">
        <v>201</v>
      </c>
      <c r="B13" s="307"/>
      <c r="C13" s="306" t="s">
        <v>181</v>
      </c>
      <c r="D13" s="306"/>
      <c r="E13" s="46">
        <v>5.384</v>
      </c>
      <c r="H13" s="93" t="str">
        <f t="shared" si="0"/>
        <v>Aluminium Conductor Steel Reinforced scrap, Lying at Outlet store Barnala. Quantity in MT - 5.384</v>
      </c>
    </row>
    <row r="14" spans="1:8" ht="17.25" customHeight="1">
      <c r="A14" s="304" t="s">
        <v>182</v>
      </c>
      <c r="B14" s="307"/>
      <c r="C14" s="304" t="s">
        <v>548</v>
      </c>
      <c r="D14" s="305"/>
      <c r="E14" s="46">
        <v>11.367</v>
      </c>
      <c r="H14" s="93" t="str">
        <f t="shared" si="0"/>
        <v>Aluminium Conductor Steel Reinforced scrap, Lying at S &amp; T Store Bathinda (1.367 MT Intermingle). Quantity in MT - 11.367</v>
      </c>
    </row>
    <row r="15" spans="1:8" ht="17.25" customHeight="1">
      <c r="A15" s="304" t="s">
        <v>183</v>
      </c>
      <c r="B15" s="307"/>
      <c r="C15" s="304" t="s">
        <v>57</v>
      </c>
      <c r="D15" s="305"/>
      <c r="E15" s="46">
        <v>10</v>
      </c>
      <c r="H15" s="93" t="str">
        <f t="shared" si="0"/>
        <v>Aluminium Conductor Steel Reinforced scrap, Lying at S &amp; T Store Bathinda. Quantity in MT - 10</v>
      </c>
    </row>
    <row r="16" spans="1:8" ht="17.25" customHeight="1">
      <c r="A16" s="304" t="s">
        <v>203</v>
      </c>
      <c r="B16" s="307"/>
      <c r="C16" s="306" t="s">
        <v>574</v>
      </c>
      <c r="D16" s="304"/>
      <c r="E16" s="46">
        <v>9.364</v>
      </c>
      <c r="H16" s="93" t="str">
        <f t="shared" si="0"/>
        <v>Aluminium Conductor Steel Reinforced scrap, Lying at CS Malout (.133 MT Intermingle). Quantity in MT - 9.364</v>
      </c>
    </row>
    <row r="17" spans="1:8" ht="17.25" customHeight="1">
      <c r="A17" s="304" t="s">
        <v>265</v>
      </c>
      <c r="B17" s="307"/>
      <c r="C17" s="313" t="s">
        <v>264</v>
      </c>
      <c r="D17" s="313"/>
      <c r="E17" s="262">
        <v>7.779</v>
      </c>
      <c r="F17" s="120"/>
      <c r="H17" s="93" t="str">
        <f t="shared" si="0"/>
        <v>Aluminium Conductor Steel Reinforced scrap, Lying at Outlet store Moga. Quantity in MT - 7.779</v>
      </c>
    </row>
    <row r="18" spans="1:8" ht="17.25" customHeight="1">
      <c r="A18" s="304" t="s">
        <v>305</v>
      </c>
      <c r="B18" s="307"/>
      <c r="C18" s="306" t="s">
        <v>368</v>
      </c>
      <c r="D18" s="306"/>
      <c r="E18" s="46">
        <v>3.628</v>
      </c>
      <c r="F18" s="120"/>
      <c r="H18" s="93" t="str">
        <f t="shared" si="0"/>
        <v>Aluminium Conductor Steel Reinforced scrap, Lying at CS Ferozepur (.015 MT Intermingle). Quantity in MT - 3.628</v>
      </c>
    </row>
    <row r="19" spans="1:8" ht="17.25" customHeight="1">
      <c r="A19" s="304" t="s">
        <v>306</v>
      </c>
      <c r="B19" s="307"/>
      <c r="C19" s="306" t="s">
        <v>230</v>
      </c>
      <c r="D19" s="304"/>
      <c r="E19" s="46">
        <v>1.704</v>
      </c>
      <c r="F19" s="120"/>
      <c r="H19" s="93" t="str">
        <f t="shared" si="0"/>
        <v>Aluminium Conductor Steel Reinforced scrap, Lying at Outlet store Rajpura. Quantity in MT - 1.704</v>
      </c>
    </row>
    <row r="20" spans="1:8" ht="17.25" customHeight="1">
      <c r="A20" s="304" t="s">
        <v>308</v>
      </c>
      <c r="B20" s="307"/>
      <c r="C20" s="306" t="s">
        <v>79</v>
      </c>
      <c r="D20" s="304"/>
      <c r="E20" s="46">
        <v>3.595</v>
      </c>
      <c r="F20" s="120"/>
      <c r="H20" s="93" t="str">
        <f t="shared" si="0"/>
        <v>Aluminium Conductor Steel Reinforced scrap, Lying at CS Sangrur. Quantity in MT - 3.595</v>
      </c>
    </row>
    <row r="21" spans="1:8" ht="17.25" customHeight="1">
      <c r="A21" s="304" t="s">
        <v>309</v>
      </c>
      <c r="B21" s="307"/>
      <c r="C21" s="306" t="s">
        <v>575</v>
      </c>
      <c r="D21" s="304"/>
      <c r="E21" s="46">
        <v>3.417</v>
      </c>
      <c r="F21" s="120"/>
      <c r="H21" s="93" t="str">
        <f t="shared" si="0"/>
        <v>Aluminium Conductor Steel Reinforced scrap, Lying at CS Patiala (.01 MT Intermingle). Quantity in MT - 3.417</v>
      </c>
    </row>
    <row r="22" spans="1:8" ht="17.25" customHeight="1">
      <c r="A22" s="304" t="s">
        <v>560</v>
      </c>
      <c r="B22" s="307"/>
      <c r="C22" s="306" t="s">
        <v>576</v>
      </c>
      <c r="D22" s="304"/>
      <c r="E22" s="46">
        <v>0.43</v>
      </c>
      <c r="F22" s="120"/>
      <c r="H22" s="93" t="str">
        <f t="shared" si="0"/>
        <v>Aluminium Conductor Steel Reinforced scrap, Lying at Outlet store Nabha. Quantity in MT - 0.43</v>
      </c>
    </row>
    <row r="23" spans="1:8" ht="17.25" customHeight="1">
      <c r="A23" s="304" t="s">
        <v>369</v>
      </c>
      <c r="B23" s="307"/>
      <c r="C23" s="306" t="s">
        <v>185</v>
      </c>
      <c r="D23" s="304"/>
      <c r="E23" s="46">
        <v>5.128</v>
      </c>
      <c r="F23" s="120"/>
      <c r="H23" s="93" t="str">
        <f t="shared" si="0"/>
        <v>Aluminium Conductor Steel Reinforced scrap, Lying at Outlet store Mansa. Quantity in MT - 5.128</v>
      </c>
    </row>
    <row r="24" spans="1:8" ht="17.25" customHeight="1" thickBot="1">
      <c r="A24" s="304" t="s">
        <v>439</v>
      </c>
      <c r="B24" s="307"/>
      <c r="C24" s="306" t="s">
        <v>583</v>
      </c>
      <c r="D24" s="304"/>
      <c r="E24" s="46">
        <v>1.891</v>
      </c>
      <c r="F24" s="120"/>
      <c r="H24" s="93" t="str">
        <f t="shared" si="0"/>
        <v>Aluminium Conductor Steel Reinforced scrap, Lying at CS Mohali (.134 MT intermingle). Quantity in MT - 1.891</v>
      </c>
    </row>
    <row r="25" spans="1:5" ht="17.25" customHeight="1" thickBot="1">
      <c r="A25" s="342" t="s">
        <v>113</v>
      </c>
      <c r="B25" s="343"/>
      <c r="C25" s="336"/>
      <c r="D25" s="336"/>
      <c r="E25" s="123">
        <f>SUM(E6:E24)</f>
        <v>104.90400000000001</v>
      </c>
    </row>
    <row r="26" spans="1:5" ht="17.25" customHeight="1">
      <c r="A26" s="140"/>
      <c r="B26" s="140"/>
      <c r="C26" s="139"/>
      <c r="D26" s="139"/>
      <c r="E26" s="141"/>
    </row>
    <row r="27" spans="1:5" ht="17.25" customHeight="1">
      <c r="A27" s="344" t="s">
        <v>334</v>
      </c>
      <c r="B27" s="345"/>
      <c r="C27" s="345"/>
      <c r="D27" s="345"/>
      <c r="E27" s="65" t="s">
        <v>7</v>
      </c>
    </row>
    <row r="28" spans="1:8" ht="17.25" customHeight="1">
      <c r="A28" s="306" t="s">
        <v>335</v>
      </c>
      <c r="B28" s="306"/>
      <c r="C28" s="306" t="s">
        <v>264</v>
      </c>
      <c r="D28" s="306"/>
      <c r="E28" s="73">
        <v>0.431</v>
      </c>
      <c r="H28" s="93" t="str">
        <f>CONCATENATE("LT ABC Cable scrap without insulation, Lying at ",C28,". Quantity in MT - ",E28,)</f>
        <v>LT ABC Cable scrap without insulation, Lying at Outlet store Moga. Quantity in MT - 0.431</v>
      </c>
    </row>
    <row r="29" spans="1:8" ht="17.25" customHeight="1" thickBot="1">
      <c r="A29" s="317" t="s">
        <v>351</v>
      </c>
      <c r="B29" s="318"/>
      <c r="C29" s="304" t="s">
        <v>230</v>
      </c>
      <c r="D29" s="307"/>
      <c r="E29" s="263">
        <v>1.128</v>
      </c>
      <c r="H29" s="93" t="str">
        <f>CONCATENATE("LT ABC Cable scrap without insulation, Lying at ",C29,". Quantity in MT - ",E29,)</f>
        <v>LT ABC Cable scrap without insulation, Lying at Outlet store Rajpura. Quantity in MT - 1.128</v>
      </c>
    </row>
    <row r="30" spans="1:5" ht="17.25" customHeight="1" thickBot="1">
      <c r="A30" s="337" t="s">
        <v>113</v>
      </c>
      <c r="B30" s="338"/>
      <c r="C30" s="339"/>
      <c r="D30" s="339"/>
      <c r="E30" s="150">
        <f>E28+E29</f>
        <v>1.559</v>
      </c>
    </row>
    <row r="31" spans="1:5" ht="17.25" customHeight="1">
      <c r="A31" s="121"/>
      <c r="B31" s="121"/>
      <c r="C31" s="122"/>
      <c r="D31" s="334"/>
      <c r="E31" s="335"/>
    </row>
    <row r="32" spans="1:5" ht="17.25" customHeight="1">
      <c r="A32" s="352" t="s">
        <v>12</v>
      </c>
      <c r="B32" s="353"/>
      <c r="C32" s="353"/>
      <c r="D32" s="353"/>
      <c r="E32" s="65" t="s">
        <v>7</v>
      </c>
    </row>
    <row r="33" spans="1:8" ht="17.25" customHeight="1">
      <c r="A33" s="304" t="s">
        <v>73</v>
      </c>
      <c r="B33" s="307"/>
      <c r="C33" s="306" t="s">
        <v>28</v>
      </c>
      <c r="D33" s="306"/>
      <c r="E33" s="73">
        <v>15.303</v>
      </c>
      <c r="H33" s="93" t="str">
        <f aca="true" t="shared" si="1" ref="H33:H53">CONCATENATE("Damaged Distribution Transformer's HT/LT Aluminium coils scrap with insulation, Lying at ",C33,". Quantity in MT - ",E33,)</f>
        <v>Damaged Distribution Transformer's HT/LT Aluminium coils scrap with insulation, Lying at TRY Malerkotla. Quantity in MT - 15.303</v>
      </c>
    </row>
    <row r="34" spans="1:8" ht="17.25" customHeight="1">
      <c r="A34" s="304" t="s">
        <v>122</v>
      </c>
      <c r="B34" s="307"/>
      <c r="C34" s="306" t="s">
        <v>136</v>
      </c>
      <c r="D34" s="306"/>
      <c r="E34" s="73">
        <v>14.24</v>
      </c>
      <c r="H34" s="93" t="str">
        <f t="shared" si="1"/>
        <v>Damaged Distribution Transformer's HT/LT Aluminium coils scrap with insulation, Lying at TRY Patran. Quantity in MT - 14.24</v>
      </c>
    </row>
    <row r="35" spans="1:8" ht="17.25" customHeight="1">
      <c r="A35" s="304" t="s">
        <v>123</v>
      </c>
      <c r="B35" s="307"/>
      <c r="C35" s="306" t="s">
        <v>136</v>
      </c>
      <c r="D35" s="306"/>
      <c r="E35" s="73">
        <v>10</v>
      </c>
      <c r="H35" s="93" t="str">
        <f t="shared" si="1"/>
        <v>Damaged Distribution Transformer's HT/LT Aluminium coils scrap with insulation, Lying at TRY Patran. Quantity in MT - 10</v>
      </c>
    </row>
    <row r="36" spans="1:8" ht="17.25" customHeight="1">
      <c r="A36" s="304" t="s">
        <v>204</v>
      </c>
      <c r="B36" s="307"/>
      <c r="C36" s="306" t="s">
        <v>245</v>
      </c>
      <c r="D36" s="306"/>
      <c r="E36" s="73">
        <v>16.84</v>
      </c>
      <c r="H36" s="93" t="str">
        <f t="shared" si="1"/>
        <v>Damaged Distribution Transformer's HT/LT Aluminium coils scrap with insulation, Lying at TRY Kotkapura. Quantity in MT - 16.84</v>
      </c>
    </row>
    <row r="37" spans="1:8" ht="17.25" customHeight="1">
      <c r="A37" s="304" t="s">
        <v>158</v>
      </c>
      <c r="B37" s="307"/>
      <c r="C37" s="306" t="s">
        <v>245</v>
      </c>
      <c r="D37" s="306"/>
      <c r="E37" s="73">
        <v>10</v>
      </c>
      <c r="H37" s="93" t="str">
        <f t="shared" si="1"/>
        <v>Damaged Distribution Transformer's HT/LT Aluminium coils scrap with insulation, Lying at TRY Kotkapura. Quantity in MT - 10</v>
      </c>
    </row>
    <row r="38" spans="1:8" ht="17.25" customHeight="1">
      <c r="A38" s="304" t="s">
        <v>186</v>
      </c>
      <c r="B38" s="307"/>
      <c r="C38" s="306" t="s">
        <v>245</v>
      </c>
      <c r="D38" s="306"/>
      <c r="E38" s="73">
        <v>10</v>
      </c>
      <c r="H38" s="93" t="str">
        <f t="shared" si="1"/>
        <v>Damaged Distribution Transformer's HT/LT Aluminium coils scrap with insulation, Lying at TRY Kotkapura. Quantity in MT - 10</v>
      </c>
    </row>
    <row r="39" spans="1:8" ht="17.25" customHeight="1">
      <c r="A39" s="304" t="s">
        <v>246</v>
      </c>
      <c r="B39" s="307"/>
      <c r="C39" s="306" t="s">
        <v>245</v>
      </c>
      <c r="D39" s="306"/>
      <c r="E39" s="73">
        <v>10</v>
      </c>
      <c r="H39" s="93" t="str">
        <f t="shared" si="1"/>
        <v>Damaged Distribution Transformer's HT/LT Aluminium coils scrap with insulation, Lying at TRY Kotkapura. Quantity in MT - 10</v>
      </c>
    </row>
    <row r="40" spans="1:8" ht="17.25" customHeight="1">
      <c r="A40" s="304" t="s">
        <v>165</v>
      </c>
      <c r="B40" s="307"/>
      <c r="C40" s="306" t="s">
        <v>164</v>
      </c>
      <c r="D40" s="306"/>
      <c r="E40" s="73">
        <v>15</v>
      </c>
      <c r="F40" s="120"/>
      <c r="H40" s="93" t="str">
        <f t="shared" si="1"/>
        <v>Damaged Distribution Transformer's HT/LT Aluminium coils scrap with insulation, Lying at TRY Malout. Quantity in MT - 15</v>
      </c>
    </row>
    <row r="41" spans="1:8" ht="17.25" customHeight="1">
      <c r="A41" s="304" t="s">
        <v>248</v>
      </c>
      <c r="B41" s="307"/>
      <c r="C41" s="306" t="s">
        <v>164</v>
      </c>
      <c r="D41" s="306"/>
      <c r="E41" s="73">
        <v>14.154</v>
      </c>
      <c r="F41" s="120"/>
      <c r="G41" s="120"/>
      <c r="H41" s="93" t="str">
        <f t="shared" si="1"/>
        <v>Damaged Distribution Transformer's HT/LT Aluminium coils scrap with insulation, Lying at TRY Malout. Quantity in MT - 14.154</v>
      </c>
    </row>
    <row r="42" spans="1:8" ht="17.25" customHeight="1">
      <c r="A42" s="304" t="s">
        <v>261</v>
      </c>
      <c r="B42" s="307"/>
      <c r="C42" s="306" t="s">
        <v>166</v>
      </c>
      <c r="D42" s="306"/>
      <c r="E42" s="73">
        <v>16</v>
      </c>
      <c r="H42" s="93" t="str">
        <f t="shared" si="1"/>
        <v>Damaged Distribution Transformer's HT/LT Aluminium coils scrap with insulation, Lying at TRY Mansa. Quantity in MT - 16</v>
      </c>
    </row>
    <row r="43" spans="1:8" ht="17.25" customHeight="1">
      <c r="A43" s="304" t="s">
        <v>398</v>
      </c>
      <c r="B43" s="307"/>
      <c r="C43" s="306" t="s">
        <v>166</v>
      </c>
      <c r="D43" s="306"/>
      <c r="E43" s="73">
        <v>16.423</v>
      </c>
      <c r="F43" s="120"/>
      <c r="G43" s="1">
        <v>7.783000000000001</v>
      </c>
      <c r="H43" s="93" t="str">
        <f t="shared" si="1"/>
        <v>Damaged Distribution Transformer's HT/LT Aluminium coils scrap with insulation, Lying at TRY Mansa. Quantity in MT - 16.423</v>
      </c>
    </row>
    <row r="44" spans="1:8" ht="17.25" customHeight="1">
      <c r="A44" s="304" t="s">
        <v>414</v>
      </c>
      <c r="B44" s="307"/>
      <c r="C44" s="306" t="s">
        <v>166</v>
      </c>
      <c r="D44" s="306"/>
      <c r="E44" s="73">
        <v>10</v>
      </c>
      <c r="H44" s="93" t="str">
        <f t="shared" si="1"/>
        <v>Damaged Distribution Transformer's HT/LT Aluminium coils scrap with insulation, Lying at TRY Mansa. Quantity in MT - 10</v>
      </c>
    </row>
    <row r="45" spans="1:8" ht="17.25" customHeight="1">
      <c r="A45" s="304" t="s">
        <v>415</v>
      </c>
      <c r="B45" s="307"/>
      <c r="C45" s="306" t="s">
        <v>166</v>
      </c>
      <c r="D45" s="306"/>
      <c r="E45" s="73">
        <v>10</v>
      </c>
      <c r="H45" s="93" t="str">
        <f t="shared" si="1"/>
        <v>Damaged Distribution Transformer's HT/LT Aluminium coils scrap with insulation, Lying at TRY Mansa. Quantity in MT - 10</v>
      </c>
    </row>
    <row r="46" spans="1:8" ht="17.25" customHeight="1">
      <c r="A46" s="304" t="s">
        <v>490</v>
      </c>
      <c r="B46" s="307"/>
      <c r="C46" s="306" t="s">
        <v>143</v>
      </c>
      <c r="D46" s="306"/>
      <c r="E46" s="73">
        <v>3.66</v>
      </c>
      <c r="H46" s="93" t="str">
        <f t="shared" si="1"/>
        <v>Damaged Distribution Transformer's HT/LT Aluminium coils scrap with insulation, Lying at TRY Ropar. Quantity in MT - 3.66</v>
      </c>
    </row>
    <row r="47" spans="1:8" ht="17.25" customHeight="1">
      <c r="A47" s="304" t="s">
        <v>498</v>
      </c>
      <c r="B47" s="307"/>
      <c r="C47" s="306" t="s">
        <v>36</v>
      </c>
      <c r="D47" s="306"/>
      <c r="E47" s="73">
        <v>17.38</v>
      </c>
      <c r="H47" s="93" t="str">
        <f t="shared" si="1"/>
        <v>Damaged Distribution Transformer's HT/LT Aluminium coils scrap with insulation, Lying at TRY Bathinda. Quantity in MT - 17.38</v>
      </c>
    </row>
    <row r="48" spans="1:8" ht="17.25" customHeight="1">
      <c r="A48" s="304" t="s">
        <v>499</v>
      </c>
      <c r="B48" s="307"/>
      <c r="C48" s="305" t="s">
        <v>135</v>
      </c>
      <c r="D48" s="305"/>
      <c r="E48" s="73">
        <v>14.7</v>
      </c>
      <c r="F48" s="120"/>
      <c r="H48" s="93" t="str">
        <f t="shared" si="1"/>
        <v>Damaged Distribution Transformer's HT/LT Aluminium coils scrap with insulation, Lying at TRY Sangrur. Quantity in MT - 14.7</v>
      </c>
    </row>
    <row r="49" spans="1:8" ht="17.25" customHeight="1">
      <c r="A49" s="304" t="s">
        <v>500</v>
      </c>
      <c r="B49" s="307"/>
      <c r="C49" s="305" t="s">
        <v>135</v>
      </c>
      <c r="D49" s="305"/>
      <c r="E49" s="73">
        <v>10</v>
      </c>
      <c r="H49" s="93" t="str">
        <f t="shared" si="1"/>
        <v>Damaged Distribution Transformer's HT/LT Aluminium coils scrap with insulation, Lying at TRY Sangrur. Quantity in MT - 10</v>
      </c>
    </row>
    <row r="50" spans="1:8" ht="17.25" customHeight="1">
      <c r="A50" s="304" t="s">
        <v>502</v>
      </c>
      <c r="B50" s="307"/>
      <c r="C50" s="305" t="s">
        <v>132</v>
      </c>
      <c r="D50" s="305"/>
      <c r="E50" s="73">
        <v>7.16</v>
      </c>
      <c r="H50" s="93" t="str">
        <f t="shared" si="1"/>
        <v>Damaged Distribution Transformer's HT/LT Aluminium coils scrap with insulation, Lying at TRY Bhagta Bhai Ka. Quantity in MT - 7.16</v>
      </c>
    </row>
    <row r="51" spans="1:8" ht="17.25" customHeight="1">
      <c r="A51" s="304" t="s">
        <v>511</v>
      </c>
      <c r="B51" s="307"/>
      <c r="C51" s="305" t="s">
        <v>132</v>
      </c>
      <c r="D51" s="305"/>
      <c r="E51" s="73">
        <v>10</v>
      </c>
      <c r="H51" s="93" t="str">
        <f t="shared" si="1"/>
        <v>Damaged Distribution Transformer's HT/LT Aluminium coils scrap with insulation, Lying at TRY Bhagta Bhai Ka. Quantity in MT - 10</v>
      </c>
    </row>
    <row r="52" spans="1:8" ht="17.25" customHeight="1">
      <c r="A52" s="304" t="s">
        <v>512</v>
      </c>
      <c r="B52" s="307"/>
      <c r="C52" s="306" t="s">
        <v>42</v>
      </c>
      <c r="D52" s="306"/>
      <c r="E52" s="73">
        <v>4.435</v>
      </c>
      <c r="H52" s="93" t="str">
        <f t="shared" si="1"/>
        <v>Damaged Distribution Transformer's HT/LT Aluminium coils scrap with insulation, Lying at TRY Ferozepur. Quantity in MT - 4.435</v>
      </c>
    </row>
    <row r="53" spans="1:8" ht="17.25" customHeight="1" thickBot="1">
      <c r="A53" s="304" t="s">
        <v>573</v>
      </c>
      <c r="B53" s="307"/>
      <c r="C53" s="305" t="s">
        <v>314</v>
      </c>
      <c r="D53" s="305"/>
      <c r="E53" s="73">
        <v>7.746</v>
      </c>
      <c r="H53" s="93" t="str">
        <f t="shared" si="1"/>
        <v>Damaged Distribution Transformer's HT/LT Aluminium coils scrap with insulation, Lying at TRY Barnala. Quantity in MT - 7.746</v>
      </c>
    </row>
    <row r="54" spans="1:5" ht="17.25" customHeight="1" thickBot="1">
      <c r="A54" s="337" t="s">
        <v>113</v>
      </c>
      <c r="B54" s="338"/>
      <c r="C54" s="356"/>
      <c r="D54" s="357"/>
      <c r="E54" s="123">
        <f>SUM(E33:E53)</f>
        <v>243.04099999999997</v>
      </c>
    </row>
    <row r="55" spans="1:8" ht="17.25" customHeight="1">
      <c r="A55" s="354"/>
      <c r="B55" s="354"/>
      <c r="C55" s="354"/>
      <c r="D55" s="354"/>
      <c r="E55" s="355"/>
      <c r="H55" s="110"/>
    </row>
    <row r="56" spans="1:5" ht="17.25" customHeight="1">
      <c r="A56" s="332" t="s">
        <v>107</v>
      </c>
      <c r="B56" s="332"/>
      <c r="C56" s="332"/>
      <c r="D56" s="332"/>
      <c r="E56" s="333"/>
    </row>
    <row r="57" spans="1:5" ht="17.25" customHeight="1">
      <c r="A57" s="340" t="s">
        <v>684</v>
      </c>
      <c r="B57" s="341"/>
      <c r="C57" s="341"/>
      <c r="D57" s="341"/>
      <c r="E57" s="341"/>
    </row>
    <row r="58" spans="1:5" ht="17.25" customHeight="1">
      <c r="A58" s="89"/>
      <c r="B58" s="90"/>
      <c r="C58" s="90"/>
      <c r="D58" s="90"/>
      <c r="E58" s="90"/>
    </row>
    <row r="59" spans="1:6" ht="29.25" customHeight="1">
      <c r="A59" s="304" t="s">
        <v>240</v>
      </c>
      <c r="B59" s="305"/>
      <c r="C59" s="305"/>
      <c r="D59" s="305"/>
      <c r="E59" s="307"/>
      <c r="F59" s="1">
        <f>B74+B88+B102+B115+B123+B137+B150+B164+B184+B203+B223+B247+B260+B274+B294+B308+B325+B338+B352+B375+B393+B407+B425+B443+B453+B467+B485+B505+B523+B536+B551+B570+B589+B601+B620+B637+B653</f>
        <v>2755</v>
      </c>
    </row>
    <row r="60" spans="1:5" ht="24.75" customHeight="1">
      <c r="A60" s="40" t="s">
        <v>211</v>
      </c>
      <c r="B60" s="40" t="s">
        <v>212</v>
      </c>
      <c r="C60" s="40" t="s">
        <v>213</v>
      </c>
      <c r="D60" s="40" t="s">
        <v>214</v>
      </c>
      <c r="E60" s="39" t="s">
        <v>215</v>
      </c>
    </row>
    <row r="61" spans="1:6" ht="17.25" customHeight="1">
      <c r="A61" s="301" t="s">
        <v>216</v>
      </c>
      <c r="B61" s="302"/>
      <c r="C61" s="303"/>
      <c r="D61" s="196"/>
      <c r="E61" s="199"/>
      <c r="F61" s="1">
        <f>B62+B63+B64+B65+B66+B68+B69+B70+B71+B72</f>
        <v>249</v>
      </c>
    </row>
    <row r="62" spans="1:5" ht="17.25" customHeight="1">
      <c r="A62" s="111">
        <v>90</v>
      </c>
      <c r="B62" s="112">
        <v>27</v>
      </c>
      <c r="C62" s="112" t="s">
        <v>217</v>
      </c>
      <c r="D62" s="111" t="s">
        <v>218</v>
      </c>
      <c r="E62" s="112">
        <v>1301</v>
      </c>
    </row>
    <row r="63" spans="1:5" ht="17.25" customHeight="1">
      <c r="A63" s="111">
        <v>91</v>
      </c>
      <c r="B63" s="112">
        <v>25</v>
      </c>
      <c r="C63" s="112" t="s">
        <v>217</v>
      </c>
      <c r="D63" s="111" t="s">
        <v>219</v>
      </c>
      <c r="E63" s="112">
        <v>1214</v>
      </c>
    </row>
    <row r="64" spans="1:5" ht="17.25" customHeight="1">
      <c r="A64" s="111">
        <v>92</v>
      </c>
      <c r="B64" s="112">
        <v>14</v>
      </c>
      <c r="C64" s="112" t="s">
        <v>217</v>
      </c>
      <c r="D64" s="111" t="s">
        <v>220</v>
      </c>
      <c r="E64" s="112">
        <v>678</v>
      </c>
    </row>
    <row r="65" spans="1:5" ht="17.25" customHeight="1">
      <c r="A65" s="111">
        <v>93</v>
      </c>
      <c r="B65" s="112">
        <v>25</v>
      </c>
      <c r="C65" s="112" t="s">
        <v>217</v>
      </c>
      <c r="D65" s="111" t="s">
        <v>225</v>
      </c>
      <c r="E65" s="112">
        <v>1201</v>
      </c>
    </row>
    <row r="66" spans="1:5" ht="17.25" customHeight="1">
      <c r="A66" s="111">
        <v>94</v>
      </c>
      <c r="B66" s="112">
        <v>18</v>
      </c>
      <c r="C66" s="112" t="s">
        <v>217</v>
      </c>
      <c r="D66" s="111" t="s">
        <v>226</v>
      </c>
      <c r="E66" s="112">
        <v>835</v>
      </c>
    </row>
    <row r="67" spans="1:5" ht="72.75" customHeight="1">
      <c r="A67" s="111">
        <v>95</v>
      </c>
      <c r="B67" s="112">
        <v>20</v>
      </c>
      <c r="C67" s="124" t="s">
        <v>239</v>
      </c>
      <c r="D67" s="117" t="s">
        <v>255</v>
      </c>
      <c r="E67" s="116">
        <v>4276</v>
      </c>
    </row>
    <row r="68" spans="1:5" ht="17.25" customHeight="1">
      <c r="A68" s="111">
        <v>96</v>
      </c>
      <c r="B68" s="112">
        <v>27</v>
      </c>
      <c r="C68" s="113" t="s">
        <v>217</v>
      </c>
      <c r="D68" s="111" t="s">
        <v>256</v>
      </c>
      <c r="E68" s="116">
        <v>1303</v>
      </c>
    </row>
    <row r="69" spans="1:5" ht="17.25" customHeight="1">
      <c r="A69" s="111">
        <v>97</v>
      </c>
      <c r="B69" s="112">
        <v>26</v>
      </c>
      <c r="C69" s="113" t="s">
        <v>217</v>
      </c>
      <c r="D69" s="111" t="s">
        <v>257</v>
      </c>
      <c r="E69" s="116">
        <v>1209</v>
      </c>
    </row>
    <row r="70" spans="1:5" ht="17.25" customHeight="1">
      <c r="A70" s="111">
        <v>98</v>
      </c>
      <c r="B70" s="112">
        <v>27</v>
      </c>
      <c r="C70" s="113" t="s">
        <v>224</v>
      </c>
      <c r="D70" s="117" t="s">
        <v>256</v>
      </c>
      <c r="E70" s="112">
        <v>1286</v>
      </c>
    </row>
    <row r="71" spans="1:5" ht="17.25" customHeight="1">
      <c r="A71" s="111">
        <v>99</v>
      </c>
      <c r="B71" s="112">
        <v>30</v>
      </c>
      <c r="C71" s="113" t="s">
        <v>224</v>
      </c>
      <c r="D71" s="117" t="s">
        <v>258</v>
      </c>
      <c r="E71" s="112">
        <v>1365</v>
      </c>
    </row>
    <row r="72" spans="1:5" ht="17.25" customHeight="1">
      <c r="A72" s="111">
        <v>100</v>
      </c>
      <c r="B72" s="112">
        <v>30</v>
      </c>
      <c r="C72" s="113" t="s">
        <v>224</v>
      </c>
      <c r="D72" s="117" t="s">
        <v>258</v>
      </c>
      <c r="E72" s="112">
        <v>1374</v>
      </c>
    </row>
    <row r="73" spans="1:5" ht="17.25" customHeight="1">
      <c r="A73" s="198"/>
      <c r="B73" s="125">
        <f>SUM(B62:B72)</f>
        <v>269</v>
      </c>
      <c r="C73" s="125"/>
      <c r="D73" s="125"/>
      <c r="E73" s="125">
        <f>SUM(E62:E72)</f>
        <v>16042</v>
      </c>
    </row>
    <row r="74" spans="1:5" ht="17.25" customHeight="1">
      <c r="A74" s="196" t="s">
        <v>14</v>
      </c>
      <c r="B74" s="125">
        <f>B73</f>
        <v>269</v>
      </c>
      <c r="C74" s="125"/>
      <c r="D74" s="125"/>
      <c r="E74" s="125">
        <f>E73</f>
        <v>16042</v>
      </c>
    </row>
    <row r="75" spans="1:5" ht="17.25" customHeight="1">
      <c r="A75" s="199"/>
      <c r="B75" s="126"/>
      <c r="C75" s="126"/>
      <c r="D75" s="126"/>
      <c r="E75" s="126"/>
    </row>
    <row r="76" spans="1:5" ht="27.75" customHeight="1">
      <c r="A76" s="304" t="s">
        <v>288</v>
      </c>
      <c r="B76" s="305"/>
      <c r="C76" s="305"/>
      <c r="D76" s="305"/>
      <c r="E76" s="305"/>
    </row>
    <row r="77" spans="1:5" ht="24.75" customHeight="1">
      <c r="A77" s="40" t="s">
        <v>211</v>
      </c>
      <c r="B77" s="40" t="s">
        <v>212</v>
      </c>
      <c r="C77" s="40" t="s">
        <v>213</v>
      </c>
      <c r="D77" s="40" t="s">
        <v>214</v>
      </c>
      <c r="E77" s="39" t="s">
        <v>215</v>
      </c>
    </row>
    <row r="78" spans="1:5" ht="17.25" customHeight="1">
      <c r="A78" s="301" t="s">
        <v>222</v>
      </c>
      <c r="B78" s="302"/>
      <c r="C78" s="303"/>
      <c r="D78" s="40"/>
      <c r="E78" s="39"/>
    </row>
    <row r="79" spans="1:5" ht="17.25" customHeight="1">
      <c r="A79" s="109" t="s">
        <v>278</v>
      </c>
      <c r="B79" s="104">
        <v>7</v>
      </c>
      <c r="C79" s="104" t="s">
        <v>227</v>
      </c>
      <c r="D79" s="104" t="s">
        <v>279</v>
      </c>
      <c r="E79" s="104">
        <v>780</v>
      </c>
    </row>
    <row r="80" spans="1:5" ht="17.25" customHeight="1">
      <c r="A80" s="198"/>
      <c r="B80" s="88">
        <f>SUM(B79:B79)</f>
        <v>7</v>
      </c>
      <c r="C80" s="88"/>
      <c r="D80" s="88"/>
      <c r="E80" s="88">
        <f>SUM(E79:E79)</f>
        <v>780</v>
      </c>
    </row>
    <row r="81" spans="1:5" ht="17.25" customHeight="1">
      <c r="A81" s="301" t="s">
        <v>216</v>
      </c>
      <c r="B81" s="302"/>
      <c r="C81" s="303"/>
      <c r="D81" s="34"/>
      <c r="E81" s="34"/>
    </row>
    <row r="82" spans="1:5" ht="17.25" customHeight="1">
      <c r="A82" s="109" t="s">
        <v>280</v>
      </c>
      <c r="B82" s="104">
        <v>4</v>
      </c>
      <c r="C82" s="108" t="s">
        <v>231</v>
      </c>
      <c r="D82" s="104" t="s">
        <v>281</v>
      </c>
      <c r="E82" s="104">
        <v>466</v>
      </c>
    </row>
    <row r="83" spans="1:5" ht="17.25" customHeight="1">
      <c r="A83" s="109" t="s">
        <v>280</v>
      </c>
      <c r="B83" s="104">
        <v>1</v>
      </c>
      <c r="C83" s="108" t="s">
        <v>239</v>
      </c>
      <c r="D83" s="104" t="s">
        <v>259</v>
      </c>
      <c r="E83" s="104">
        <v>220</v>
      </c>
    </row>
    <row r="84" spans="1:5" ht="17.25" customHeight="1">
      <c r="A84" s="109" t="s">
        <v>280</v>
      </c>
      <c r="B84" s="104">
        <v>1</v>
      </c>
      <c r="C84" s="108" t="s">
        <v>242</v>
      </c>
      <c r="D84" s="104" t="s">
        <v>282</v>
      </c>
      <c r="E84" s="104">
        <v>295</v>
      </c>
    </row>
    <row r="85" spans="1:5" ht="17.25" customHeight="1">
      <c r="A85" s="109" t="s">
        <v>283</v>
      </c>
      <c r="B85" s="104">
        <v>1</v>
      </c>
      <c r="C85" s="104" t="s">
        <v>227</v>
      </c>
      <c r="D85" s="40" t="s">
        <v>243</v>
      </c>
      <c r="E85" s="104">
        <v>87</v>
      </c>
    </row>
    <row r="86" spans="1:5" ht="17.25" customHeight="1">
      <c r="A86" s="109" t="s">
        <v>284</v>
      </c>
      <c r="B86" s="104">
        <v>1</v>
      </c>
      <c r="C86" s="108" t="s">
        <v>231</v>
      </c>
      <c r="D86" s="40" t="s">
        <v>243</v>
      </c>
      <c r="E86" s="104">
        <v>115</v>
      </c>
    </row>
    <row r="87" spans="1:5" ht="17.25" customHeight="1">
      <c r="A87" s="40"/>
      <c r="B87" s="196">
        <f>SUM(B82:B86)</f>
        <v>8</v>
      </c>
      <c r="C87" s="196"/>
      <c r="D87" s="196"/>
      <c r="E87" s="196">
        <f>SUM(E82:E86)</f>
        <v>1183</v>
      </c>
    </row>
    <row r="88" spans="1:5" ht="17.25" customHeight="1">
      <c r="A88" s="196" t="s">
        <v>14</v>
      </c>
      <c r="B88" s="125">
        <f>B80+B87</f>
        <v>15</v>
      </c>
      <c r="C88" s="125"/>
      <c r="D88" s="125"/>
      <c r="E88" s="125">
        <f>E80+E87</f>
        <v>1963</v>
      </c>
    </row>
    <row r="89" spans="1:5" ht="17.25" customHeight="1">
      <c r="A89" s="199"/>
      <c r="B89" s="126"/>
      <c r="C89" s="127"/>
      <c r="D89" s="125"/>
      <c r="E89" s="125"/>
    </row>
    <row r="90" spans="1:5" ht="31.5" customHeight="1">
      <c r="A90" s="304" t="s">
        <v>587</v>
      </c>
      <c r="B90" s="305"/>
      <c r="C90" s="305"/>
      <c r="D90" s="305"/>
      <c r="E90" s="305"/>
    </row>
    <row r="91" spans="1:5" ht="24.75" customHeight="1">
      <c r="A91" s="40" t="s">
        <v>211</v>
      </c>
      <c r="B91" s="40" t="s">
        <v>212</v>
      </c>
      <c r="C91" s="40" t="s">
        <v>213</v>
      </c>
      <c r="D91" s="40" t="s">
        <v>214</v>
      </c>
      <c r="E91" s="39" t="s">
        <v>215</v>
      </c>
    </row>
    <row r="92" spans="1:5" ht="17.25" customHeight="1">
      <c r="A92" s="301" t="s">
        <v>222</v>
      </c>
      <c r="B92" s="302"/>
      <c r="C92" s="303"/>
      <c r="D92" s="40"/>
      <c r="E92" s="39"/>
    </row>
    <row r="93" spans="1:5" ht="17.25" customHeight="1">
      <c r="A93" s="40">
        <v>996</v>
      </c>
      <c r="B93" s="40">
        <v>3</v>
      </c>
      <c r="C93" s="40" t="s">
        <v>217</v>
      </c>
      <c r="D93" s="40" t="s">
        <v>289</v>
      </c>
      <c r="E93" s="105">
        <v>216</v>
      </c>
    </row>
    <row r="94" spans="1:5" ht="17.25" customHeight="1">
      <c r="A94" s="40">
        <v>997</v>
      </c>
      <c r="B94" s="40">
        <v>3</v>
      </c>
      <c r="C94" s="40" t="s">
        <v>236</v>
      </c>
      <c r="D94" s="40" t="s">
        <v>290</v>
      </c>
      <c r="E94" s="105">
        <v>304</v>
      </c>
    </row>
    <row r="95" spans="1:5" ht="17.25" customHeight="1">
      <c r="A95" s="198"/>
      <c r="B95" s="88">
        <f>SUM(B93:B94)</f>
        <v>6</v>
      </c>
      <c r="C95" s="88"/>
      <c r="D95" s="88"/>
      <c r="E95" s="88">
        <f>SUM(E93:E94)</f>
        <v>520</v>
      </c>
    </row>
    <row r="96" spans="1:5" ht="17.25" customHeight="1">
      <c r="A96" s="301" t="s">
        <v>216</v>
      </c>
      <c r="B96" s="302"/>
      <c r="C96" s="303"/>
      <c r="D96" s="34"/>
      <c r="E96" s="34"/>
    </row>
    <row r="97" spans="1:5" ht="17.25" customHeight="1">
      <c r="A97" s="70">
        <v>998</v>
      </c>
      <c r="B97" s="91">
        <v>3</v>
      </c>
      <c r="C97" s="70" t="s">
        <v>235</v>
      </c>
      <c r="D97" s="40" t="s">
        <v>238</v>
      </c>
      <c r="E97" s="106">
        <v>137</v>
      </c>
    </row>
    <row r="98" spans="1:5" ht="17.25" customHeight="1">
      <c r="A98" s="70">
        <v>999</v>
      </c>
      <c r="B98" s="91">
        <v>14</v>
      </c>
      <c r="C98" s="70" t="s">
        <v>217</v>
      </c>
      <c r="D98" s="40" t="s">
        <v>291</v>
      </c>
      <c r="E98" s="106">
        <v>1255</v>
      </c>
    </row>
    <row r="99" spans="1:5" ht="17.25" customHeight="1">
      <c r="A99" s="70">
        <v>1000</v>
      </c>
      <c r="B99" s="91">
        <v>7</v>
      </c>
      <c r="C99" s="70" t="s">
        <v>217</v>
      </c>
      <c r="D99" s="40" t="s">
        <v>292</v>
      </c>
      <c r="E99" s="106">
        <v>613</v>
      </c>
    </row>
    <row r="100" spans="1:5" ht="17.25" customHeight="1">
      <c r="A100" s="70">
        <v>1001</v>
      </c>
      <c r="B100" s="91">
        <v>1</v>
      </c>
      <c r="C100" s="70" t="s">
        <v>236</v>
      </c>
      <c r="D100" s="40" t="s">
        <v>237</v>
      </c>
      <c r="E100" s="106">
        <v>101</v>
      </c>
    </row>
    <row r="101" spans="1:5" ht="17.25" customHeight="1">
      <c r="A101" s="40"/>
      <c r="B101" s="196">
        <f>SUM(B97:B100)</f>
        <v>25</v>
      </c>
      <c r="C101" s="196"/>
      <c r="D101" s="196"/>
      <c r="E101" s="196">
        <f>SUM(E97:E100)</f>
        <v>2106</v>
      </c>
    </row>
    <row r="102" spans="1:5" ht="17.25" customHeight="1">
      <c r="A102" s="196" t="s">
        <v>14</v>
      </c>
      <c r="B102" s="125">
        <f>B95+B101</f>
        <v>31</v>
      </c>
      <c r="C102" s="125"/>
      <c r="D102" s="125"/>
      <c r="E102" s="125">
        <f>E95+E101</f>
        <v>2626</v>
      </c>
    </row>
    <row r="103" spans="1:5" ht="17.25" customHeight="1">
      <c r="A103" s="199"/>
      <c r="B103" s="126"/>
      <c r="C103" s="127"/>
      <c r="D103" s="125"/>
      <c r="E103" s="125"/>
    </row>
    <row r="104" spans="1:7" ht="27.75" customHeight="1">
      <c r="A104" s="304" t="s">
        <v>588</v>
      </c>
      <c r="B104" s="305"/>
      <c r="C104" s="305"/>
      <c r="D104" s="305"/>
      <c r="E104" s="305"/>
      <c r="F104" s="131"/>
      <c r="G104" s="131"/>
    </row>
    <row r="105" spans="1:7" ht="21.75" customHeight="1">
      <c r="A105" s="40" t="s">
        <v>211</v>
      </c>
      <c r="B105" s="40" t="s">
        <v>212</v>
      </c>
      <c r="C105" s="40" t="s">
        <v>213</v>
      </c>
      <c r="D105" s="40" t="s">
        <v>214</v>
      </c>
      <c r="E105" s="39" t="s">
        <v>215</v>
      </c>
      <c r="F105" s="131"/>
      <c r="G105" s="131"/>
    </row>
    <row r="106" spans="1:7" ht="17.25" customHeight="1">
      <c r="A106" s="301" t="s">
        <v>222</v>
      </c>
      <c r="B106" s="302"/>
      <c r="C106" s="303"/>
      <c r="D106" s="40"/>
      <c r="E106" s="39"/>
      <c r="F106" s="131"/>
      <c r="G106" s="131"/>
    </row>
    <row r="107" spans="1:7" ht="17.25" customHeight="1">
      <c r="A107" s="45">
        <v>431</v>
      </c>
      <c r="B107" s="45">
        <v>6</v>
      </c>
      <c r="C107" s="45" t="s">
        <v>227</v>
      </c>
      <c r="D107" s="45" t="s">
        <v>295</v>
      </c>
      <c r="E107" s="45">
        <v>696</v>
      </c>
      <c r="F107" s="131"/>
      <c r="G107" s="131"/>
    </row>
    <row r="108" spans="1:7" ht="17.25" customHeight="1">
      <c r="A108" s="45">
        <v>431</v>
      </c>
      <c r="B108" s="45">
        <v>2</v>
      </c>
      <c r="C108" s="45" t="s">
        <v>224</v>
      </c>
      <c r="D108" s="45" t="s">
        <v>296</v>
      </c>
      <c r="E108" s="45">
        <v>174</v>
      </c>
      <c r="F108" s="131"/>
      <c r="G108" s="131"/>
    </row>
    <row r="109" spans="1:7" ht="17.25" customHeight="1">
      <c r="A109" s="196"/>
      <c r="B109" s="196">
        <f>SUM(B107:B108)</f>
        <v>8</v>
      </c>
      <c r="C109" s="196"/>
      <c r="D109" s="196"/>
      <c r="E109" s="196">
        <f>SUM(E107:E108)</f>
        <v>870</v>
      </c>
      <c r="F109" s="131"/>
      <c r="G109" s="131"/>
    </row>
    <row r="110" spans="1:7" ht="17.25" customHeight="1">
      <c r="A110" s="301" t="s">
        <v>216</v>
      </c>
      <c r="B110" s="302"/>
      <c r="C110" s="303"/>
      <c r="D110" s="196"/>
      <c r="E110" s="199"/>
      <c r="F110" s="131"/>
      <c r="G110" s="131"/>
    </row>
    <row r="111" spans="1:7" ht="17.25" customHeight="1">
      <c r="A111" s="45">
        <v>433</v>
      </c>
      <c r="B111" s="45">
        <v>2</v>
      </c>
      <c r="C111" s="108" t="s">
        <v>231</v>
      </c>
      <c r="D111" s="45" t="s">
        <v>297</v>
      </c>
      <c r="E111" s="45">
        <v>250</v>
      </c>
      <c r="F111" s="131"/>
      <c r="G111" s="131"/>
    </row>
    <row r="112" spans="1:7" ht="17.25" customHeight="1">
      <c r="A112" s="45">
        <v>432</v>
      </c>
      <c r="B112" s="45">
        <v>1</v>
      </c>
      <c r="C112" s="45" t="s">
        <v>227</v>
      </c>
      <c r="D112" s="45" t="s">
        <v>237</v>
      </c>
      <c r="E112" s="45">
        <v>90</v>
      </c>
      <c r="F112" s="131"/>
      <c r="G112" s="131"/>
    </row>
    <row r="113" spans="1:7" ht="17.25" customHeight="1">
      <c r="A113" s="45">
        <v>432</v>
      </c>
      <c r="B113" s="45">
        <v>1</v>
      </c>
      <c r="C113" s="108" t="s">
        <v>231</v>
      </c>
      <c r="D113" s="45" t="s">
        <v>237</v>
      </c>
      <c r="E113" s="45">
        <v>125</v>
      </c>
      <c r="F113" s="131"/>
      <c r="G113" s="131"/>
    </row>
    <row r="114" spans="1:7" ht="17.25" customHeight="1">
      <c r="A114" s="40"/>
      <c r="B114" s="196">
        <f>SUM(B111:B113)</f>
        <v>4</v>
      </c>
      <c r="C114" s="196"/>
      <c r="D114" s="196"/>
      <c r="E114" s="196">
        <f>SUM(E111:E113)</f>
        <v>465</v>
      </c>
      <c r="F114" s="131"/>
      <c r="G114" s="131"/>
    </row>
    <row r="115" spans="1:7" ht="17.25" customHeight="1">
      <c r="A115" s="196" t="s">
        <v>14</v>
      </c>
      <c r="B115" s="125">
        <f>B109+B114</f>
        <v>12</v>
      </c>
      <c r="C115" s="125"/>
      <c r="D115" s="125"/>
      <c r="E115" s="125">
        <f>E109+E114</f>
        <v>1335</v>
      </c>
      <c r="F115" s="131"/>
      <c r="G115" s="131"/>
    </row>
    <row r="116" spans="1:7" ht="17.25" customHeight="1">
      <c r="A116" s="199"/>
      <c r="B116" s="126"/>
      <c r="C116" s="127"/>
      <c r="D116" s="125"/>
      <c r="E116" s="125"/>
      <c r="F116" s="131"/>
      <c r="G116" s="131"/>
    </row>
    <row r="117" spans="1:7" ht="27" customHeight="1">
      <c r="A117" s="304" t="s">
        <v>589</v>
      </c>
      <c r="B117" s="305"/>
      <c r="C117" s="305"/>
      <c r="D117" s="305"/>
      <c r="E117" s="305"/>
      <c r="F117" s="131"/>
      <c r="G117" s="131"/>
    </row>
    <row r="118" spans="1:7" ht="23.25" customHeight="1">
      <c r="A118" s="40" t="s">
        <v>211</v>
      </c>
      <c r="B118" s="40" t="s">
        <v>212</v>
      </c>
      <c r="C118" s="40" t="s">
        <v>213</v>
      </c>
      <c r="D118" s="40" t="s">
        <v>214</v>
      </c>
      <c r="E118" s="39" t="s">
        <v>215</v>
      </c>
      <c r="F118" s="131"/>
      <c r="G118" s="131"/>
    </row>
    <row r="119" spans="1:7" ht="17.25" customHeight="1">
      <c r="A119" s="301" t="s">
        <v>216</v>
      </c>
      <c r="B119" s="302"/>
      <c r="C119" s="303"/>
      <c r="D119" s="196"/>
      <c r="E119" s="199"/>
      <c r="F119" s="131"/>
      <c r="G119" s="131"/>
    </row>
    <row r="120" spans="1:7" ht="17.25" customHeight="1">
      <c r="A120" s="111">
        <v>109</v>
      </c>
      <c r="B120" s="112">
        <v>25</v>
      </c>
      <c r="C120" s="112" t="s">
        <v>217</v>
      </c>
      <c r="D120" s="40" t="s">
        <v>298</v>
      </c>
      <c r="E120" s="137">
        <v>1149</v>
      </c>
      <c r="F120" s="131"/>
      <c r="G120" s="131"/>
    </row>
    <row r="121" spans="1:7" ht="17.25" customHeight="1">
      <c r="A121" s="112">
        <v>110</v>
      </c>
      <c r="B121" s="112">
        <v>29</v>
      </c>
      <c r="C121" s="112" t="s">
        <v>217</v>
      </c>
      <c r="D121" s="40" t="s">
        <v>299</v>
      </c>
      <c r="E121" s="137">
        <v>1347</v>
      </c>
      <c r="F121" s="131"/>
      <c r="G121" s="131"/>
    </row>
    <row r="122" spans="1:7" ht="17.25" customHeight="1">
      <c r="A122" s="40"/>
      <c r="B122" s="196">
        <f>SUM(B120:B121)</f>
        <v>54</v>
      </c>
      <c r="C122" s="196"/>
      <c r="D122" s="196"/>
      <c r="E122" s="199">
        <f>SUM(E120:E121)</f>
        <v>2496</v>
      </c>
      <c r="F122" s="131"/>
      <c r="G122" s="131"/>
    </row>
    <row r="123" spans="1:7" ht="17.25" customHeight="1">
      <c r="A123" s="196" t="s">
        <v>14</v>
      </c>
      <c r="B123" s="125">
        <f>B122</f>
        <v>54</v>
      </c>
      <c r="C123" s="125"/>
      <c r="D123" s="125"/>
      <c r="E123" s="125">
        <f>E122</f>
        <v>2496</v>
      </c>
      <c r="F123" s="131"/>
      <c r="G123" s="131"/>
    </row>
    <row r="124" spans="1:7" ht="17.25" customHeight="1">
      <c r="A124" s="199"/>
      <c r="B124" s="126"/>
      <c r="C124" s="127"/>
      <c r="D124" s="125"/>
      <c r="E124" s="125"/>
      <c r="F124" s="131"/>
      <c r="G124" s="131"/>
    </row>
    <row r="125" spans="1:7" ht="27.75" customHeight="1">
      <c r="A125" s="304" t="s">
        <v>590</v>
      </c>
      <c r="B125" s="305"/>
      <c r="C125" s="305"/>
      <c r="D125" s="305"/>
      <c r="E125" s="305"/>
      <c r="F125" s="131"/>
      <c r="G125" s="131"/>
    </row>
    <row r="126" spans="1:7" ht="24.75" customHeight="1">
      <c r="A126" s="40" t="s">
        <v>211</v>
      </c>
      <c r="B126" s="40" t="s">
        <v>212</v>
      </c>
      <c r="C126" s="40" t="s">
        <v>213</v>
      </c>
      <c r="D126" s="40" t="s">
        <v>214</v>
      </c>
      <c r="E126" s="39" t="s">
        <v>215</v>
      </c>
      <c r="F126" s="131"/>
      <c r="G126" s="131"/>
    </row>
    <row r="127" spans="1:7" ht="17.25" customHeight="1">
      <c r="A127" s="301" t="s">
        <v>222</v>
      </c>
      <c r="B127" s="302"/>
      <c r="C127" s="303"/>
      <c r="D127" s="40"/>
      <c r="E127" s="39"/>
      <c r="F127" s="131"/>
      <c r="G127" s="131"/>
    </row>
    <row r="128" spans="1:7" ht="17.25" customHeight="1">
      <c r="A128" s="91">
        <v>1288</v>
      </c>
      <c r="B128" s="91">
        <v>2</v>
      </c>
      <c r="C128" s="91" t="s">
        <v>223</v>
      </c>
      <c r="D128" s="70" t="s">
        <v>300</v>
      </c>
      <c r="E128" s="91">
        <v>110</v>
      </c>
      <c r="F128" s="131"/>
      <c r="G128" s="131"/>
    </row>
    <row r="129" spans="1:7" ht="17.25" customHeight="1">
      <c r="A129" s="70">
        <v>1289</v>
      </c>
      <c r="B129" s="91">
        <v>8</v>
      </c>
      <c r="C129" s="91" t="s">
        <v>217</v>
      </c>
      <c r="D129" s="70" t="s">
        <v>301</v>
      </c>
      <c r="E129" s="70">
        <v>624</v>
      </c>
      <c r="F129" s="131"/>
      <c r="G129" s="131"/>
    </row>
    <row r="130" spans="1:7" ht="17.25" customHeight="1">
      <c r="A130" s="70">
        <v>1290</v>
      </c>
      <c r="B130" s="40">
        <v>4</v>
      </c>
      <c r="C130" s="40" t="s">
        <v>227</v>
      </c>
      <c r="D130" s="40" t="s">
        <v>302</v>
      </c>
      <c r="E130" s="40">
        <v>440</v>
      </c>
      <c r="F130" s="131"/>
      <c r="G130" s="131"/>
    </row>
    <row r="131" spans="1:7" ht="17.25" customHeight="1">
      <c r="A131" s="196"/>
      <c r="B131" s="196">
        <f>SUM(B128:B130)</f>
        <v>14</v>
      </c>
      <c r="C131" s="196"/>
      <c r="D131" s="196"/>
      <c r="E131" s="196">
        <f>SUM(E128:E130)</f>
        <v>1174</v>
      </c>
      <c r="F131" s="131"/>
      <c r="G131" s="131"/>
    </row>
    <row r="132" spans="1:7" ht="17.25" customHeight="1">
      <c r="A132" s="301" t="s">
        <v>216</v>
      </c>
      <c r="B132" s="302"/>
      <c r="C132" s="303"/>
      <c r="D132" s="196"/>
      <c r="E132" s="199"/>
      <c r="F132" s="131"/>
      <c r="G132" s="131"/>
    </row>
    <row r="133" spans="1:7" ht="17.25" customHeight="1">
      <c r="A133" s="136">
        <v>1292</v>
      </c>
      <c r="B133" s="60">
        <v>3</v>
      </c>
      <c r="C133" s="197" t="s">
        <v>239</v>
      </c>
      <c r="D133" s="40" t="s">
        <v>303</v>
      </c>
      <c r="E133" s="60">
        <v>636</v>
      </c>
      <c r="F133" s="131"/>
      <c r="G133" s="131"/>
    </row>
    <row r="134" spans="1:7" ht="17.25" customHeight="1">
      <c r="A134" s="135">
        <v>1293</v>
      </c>
      <c r="B134" s="91">
        <v>3</v>
      </c>
      <c r="C134" s="197" t="s">
        <v>242</v>
      </c>
      <c r="D134" s="40" t="s">
        <v>304</v>
      </c>
      <c r="E134" s="70">
        <v>830</v>
      </c>
      <c r="F134" s="131"/>
      <c r="G134" s="131"/>
    </row>
    <row r="135" spans="1:7" ht="17.25" customHeight="1">
      <c r="A135" s="136">
        <v>1291</v>
      </c>
      <c r="B135" s="60">
        <v>25</v>
      </c>
      <c r="C135" s="40" t="s">
        <v>217</v>
      </c>
      <c r="D135" s="40" t="s">
        <v>298</v>
      </c>
      <c r="E135" s="60">
        <v>1426</v>
      </c>
      <c r="F135" s="131"/>
      <c r="G135" s="131"/>
    </row>
    <row r="136" spans="1:7" ht="17.25" customHeight="1">
      <c r="A136" s="40"/>
      <c r="B136" s="196">
        <f>SUM(B133:B135)</f>
        <v>31</v>
      </c>
      <c r="C136" s="196"/>
      <c r="D136" s="196"/>
      <c r="E136" s="199">
        <f>SUM(E133:E135)</f>
        <v>2892</v>
      </c>
      <c r="F136" s="131"/>
      <c r="G136" s="131"/>
    </row>
    <row r="137" spans="1:7" ht="17.25" customHeight="1">
      <c r="A137" s="196" t="s">
        <v>14</v>
      </c>
      <c r="B137" s="125">
        <f>B131+B136</f>
        <v>45</v>
      </c>
      <c r="C137" s="125"/>
      <c r="D137" s="125"/>
      <c r="E137" s="125">
        <f>E131+E136</f>
        <v>4066</v>
      </c>
      <c r="F137" s="131"/>
      <c r="G137" s="131"/>
    </row>
    <row r="138" spans="1:7" ht="17.25" customHeight="1">
      <c r="A138" s="199"/>
      <c r="B138" s="126"/>
      <c r="C138" s="127"/>
      <c r="D138" s="125"/>
      <c r="E138" s="125"/>
      <c r="F138" s="131"/>
      <c r="G138" s="131"/>
    </row>
    <row r="139" spans="1:7" ht="27" customHeight="1">
      <c r="A139" s="304" t="s">
        <v>591</v>
      </c>
      <c r="B139" s="305"/>
      <c r="C139" s="305"/>
      <c r="D139" s="305"/>
      <c r="E139" s="305"/>
      <c r="F139" s="131"/>
      <c r="G139" s="131"/>
    </row>
    <row r="140" spans="1:7" ht="27" customHeight="1">
      <c r="A140" s="40" t="s">
        <v>211</v>
      </c>
      <c r="B140" s="40" t="s">
        <v>212</v>
      </c>
      <c r="C140" s="40" t="s">
        <v>213</v>
      </c>
      <c r="D140" s="40" t="s">
        <v>214</v>
      </c>
      <c r="E140" s="39" t="s">
        <v>215</v>
      </c>
      <c r="F140" s="131"/>
      <c r="G140" s="131"/>
    </row>
    <row r="141" spans="1:7" ht="17.25" customHeight="1">
      <c r="A141" s="301" t="s">
        <v>222</v>
      </c>
      <c r="B141" s="302"/>
      <c r="C141" s="303"/>
      <c r="D141" s="40"/>
      <c r="E141" s="39"/>
      <c r="F141" s="131"/>
      <c r="G141" s="131"/>
    </row>
    <row r="142" spans="1:7" ht="17.25" customHeight="1">
      <c r="A142" s="40">
        <v>1123</v>
      </c>
      <c r="B142" s="60">
        <v>4</v>
      </c>
      <c r="C142" s="60" t="s">
        <v>227</v>
      </c>
      <c r="D142" s="40" t="s">
        <v>315</v>
      </c>
      <c r="E142" s="40">
        <v>448</v>
      </c>
      <c r="F142" s="131"/>
      <c r="G142" s="131"/>
    </row>
    <row r="143" spans="1:7" ht="17.25" customHeight="1">
      <c r="A143" s="40">
        <v>1124</v>
      </c>
      <c r="B143" s="60">
        <v>2</v>
      </c>
      <c r="C143" s="60" t="s">
        <v>224</v>
      </c>
      <c r="D143" s="40" t="s">
        <v>316</v>
      </c>
      <c r="E143" s="40">
        <v>166</v>
      </c>
      <c r="F143" s="131"/>
      <c r="G143" s="131"/>
    </row>
    <row r="144" spans="1:7" ht="17.25" customHeight="1">
      <c r="A144" s="40"/>
      <c r="B144" s="196">
        <f>SUM(B142:B143)</f>
        <v>6</v>
      </c>
      <c r="C144" s="196"/>
      <c r="D144" s="196"/>
      <c r="E144" s="196">
        <f>SUM(E142:E143)</f>
        <v>614</v>
      </c>
      <c r="F144" s="131"/>
      <c r="G144" s="131"/>
    </row>
    <row r="145" spans="1:7" ht="17.25" customHeight="1">
      <c r="A145" s="301" t="s">
        <v>216</v>
      </c>
      <c r="B145" s="302"/>
      <c r="C145" s="303"/>
      <c r="D145" s="40"/>
      <c r="E145" s="39"/>
      <c r="F145" s="131"/>
      <c r="G145" s="131"/>
    </row>
    <row r="146" spans="1:7" ht="17.25" customHeight="1">
      <c r="A146" s="70">
        <v>1120</v>
      </c>
      <c r="B146" s="91">
        <v>19</v>
      </c>
      <c r="C146" s="91" t="s">
        <v>227</v>
      </c>
      <c r="D146" s="40" t="s">
        <v>317</v>
      </c>
      <c r="E146" s="70">
        <v>1957</v>
      </c>
      <c r="F146" s="131"/>
      <c r="G146" s="131"/>
    </row>
    <row r="147" spans="1:7" ht="17.25" customHeight="1">
      <c r="A147" s="40">
        <v>1121</v>
      </c>
      <c r="B147" s="40">
        <v>20</v>
      </c>
      <c r="C147" s="91" t="s">
        <v>224</v>
      </c>
      <c r="D147" s="64" t="s">
        <v>318</v>
      </c>
      <c r="E147" s="40">
        <v>1860</v>
      </c>
      <c r="F147" s="131"/>
      <c r="G147" s="131"/>
    </row>
    <row r="148" spans="1:7" ht="17.25" customHeight="1">
      <c r="A148" s="40">
        <v>1122</v>
      </c>
      <c r="B148" s="40">
        <v>12</v>
      </c>
      <c r="C148" s="91" t="s">
        <v>224</v>
      </c>
      <c r="D148" s="64" t="s">
        <v>319</v>
      </c>
      <c r="E148" s="40">
        <v>1134</v>
      </c>
      <c r="F148" s="131"/>
      <c r="G148" s="131"/>
    </row>
    <row r="149" spans="1:7" ht="17.25" customHeight="1">
      <c r="A149" s="40"/>
      <c r="B149" s="196">
        <f>SUM(B146:B148)</f>
        <v>51</v>
      </c>
      <c r="C149" s="196"/>
      <c r="D149" s="196"/>
      <c r="E149" s="199">
        <f>SUM(E146:E148)</f>
        <v>4951</v>
      </c>
      <c r="F149" s="131"/>
      <c r="G149" s="131"/>
    </row>
    <row r="150" spans="1:7" ht="17.25" customHeight="1">
      <c r="A150" s="196" t="s">
        <v>14</v>
      </c>
      <c r="B150" s="125">
        <f>B144+B149</f>
        <v>57</v>
      </c>
      <c r="C150" s="125"/>
      <c r="D150" s="125"/>
      <c r="E150" s="125">
        <f>E144+E149</f>
        <v>5565</v>
      </c>
      <c r="F150" s="131"/>
      <c r="G150" s="131"/>
    </row>
    <row r="151" spans="1:7" ht="17.25" customHeight="1">
      <c r="A151" s="199"/>
      <c r="B151" s="126"/>
      <c r="C151" s="127"/>
      <c r="D151" s="125"/>
      <c r="E151" s="125"/>
      <c r="F151" s="131"/>
      <c r="G151" s="131"/>
    </row>
    <row r="152" spans="1:7" ht="26.25" customHeight="1">
      <c r="A152" s="304" t="s">
        <v>592</v>
      </c>
      <c r="B152" s="305"/>
      <c r="C152" s="305"/>
      <c r="D152" s="305"/>
      <c r="E152" s="305"/>
      <c r="F152" s="131"/>
      <c r="G152" s="131"/>
    </row>
    <row r="153" spans="1:7" ht="26.25" customHeight="1">
      <c r="A153" s="40" t="s">
        <v>211</v>
      </c>
      <c r="B153" s="40" t="s">
        <v>212</v>
      </c>
      <c r="C153" s="40" t="s">
        <v>213</v>
      </c>
      <c r="D153" s="40" t="s">
        <v>214</v>
      </c>
      <c r="E153" s="39" t="s">
        <v>215</v>
      </c>
      <c r="F153" s="131"/>
      <c r="G153" s="131"/>
    </row>
    <row r="154" spans="1:7" ht="17.25" customHeight="1">
      <c r="A154" s="301" t="s">
        <v>222</v>
      </c>
      <c r="B154" s="302"/>
      <c r="C154" s="303"/>
      <c r="D154" s="40"/>
      <c r="E154" s="39"/>
      <c r="F154" s="131"/>
      <c r="G154" s="131"/>
    </row>
    <row r="155" spans="1:7" ht="17.25" customHeight="1">
      <c r="A155" s="60">
        <v>434</v>
      </c>
      <c r="B155" s="60">
        <v>5</v>
      </c>
      <c r="C155" s="60" t="s">
        <v>227</v>
      </c>
      <c r="D155" s="91" t="s">
        <v>324</v>
      </c>
      <c r="E155" s="60">
        <v>540</v>
      </c>
      <c r="F155" s="131"/>
      <c r="G155" s="131"/>
    </row>
    <row r="156" spans="1:7" ht="17.25" customHeight="1">
      <c r="A156" s="60">
        <v>434</v>
      </c>
      <c r="B156" s="60">
        <v>1</v>
      </c>
      <c r="C156" s="60" t="s">
        <v>224</v>
      </c>
      <c r="D156" s="45" t="s">
        <v>325</v>
      </c>
      <c r="E156" s="60">
        <v>85</v>
      </c>
      <c r="F156" s="131"/>
      <c r="G156" s="131"/>
    </row>
    <row r="157" spans="1:7" ht="17.25" customHeight="1">
      <c r="A157" s="40"/>
      <c r="B157" s="196">
        <f>SUM(B155:B156)</f>
        <v>6</v>
      </c>
      <c r="C157" s="196"/>
      <c r="D157" s="196"/>
      <c r="E157" s="196">
        <f>SUM(E155:E156)</f>
        <v>625</v>
      </c>
      <c r="F157" s="131"/>
      <c r="G157" s="131"/>
    </row>
    <row r="158" spans="1:7" ht="17.25" customHeight="1">
      <c r="A158" s="301" t="s">
        <v>216</v>
      </c>
      <c r="B158" s="302"/>
      <c r="C158" s="303"/>
      <c r="D158" s="40"/>
      <c r="E158" s="39"/>
      <c r="F158" s="131"/>
      <c r="G158" s="131"/>
    </row>
    <row r="159" spans="1:7" ht="17.25" customHeight="1">
      <c r="A159" s="40">
        <v>436</v>
      </c>
      <c r="B159" s="183">
        <v>1</v>
      </c>
      <c r="C159" s="197" t="s">
        <v>231</v>
      </c>
      <c r="D159" s="183" t="s">
        <v>326</v>
      </c>
      <c r="E159" s="183">
        <v>124</v>
      </c>
      <c r="F159" s="131"/>
      <c r="G159" s="131"/>
    </row>
    <row r="160" spans="1:7" ht="17.25" customHeight="1">
      <c r="A160" s="60">
        <v>435</v>
      </c>
      <c r="B160" s="205">
        <v>1</v>
      </c>
      <c r="C160" s="205" t="s">
        <v>224</v>
      </c>
      <c r="D160" s="105" t="s">
        <v>322</v>
      </c>
      <c r="E160" s="206">
        <v>60</v>
      </c>
      <c r="F160" s="131"/>
      <c r="G160" s="131"/>
    </row>
    <row r="161" spans="1:7" ht="17.25" customHeight="1">
      <c r="A161" s="40">
        <v>435</v>
      </c>
      <c r="B161" s="183">
        <v>5</v>
      </c>
      <c r="C161" s="183" t="s">
        <v>227</v>
      </c>
      <c r="D161" s="105" t="s">
        <v>328</v>
      </c>
      <c r="E161" s="183">
        <v>450</v>
      </c>
      <c r="F161" s="131"/>
      <c r="G161" s="131"/>
    </row>
    <row r="162" spans="1:7" ht="17.25" customHeight="1">
      <c r="A162" s="40">
        <v>435</v>
      </c>
      <c r="B162" s="183">
        <v>2</v>
      </c>
      <c r="C162" s="197" t="s">
        <v>231</v>
      </c>
      <c r="D162" s="183" t="s">
        <v>327</v>
      </c>
      <c r="E162" s="183">
        <v>225</v>
      </c>
      <c r="F162" s="131"/>
      <c r="G162" s="131"/>
    </row>
    <row r="163" spans="1:7" ht="17.25" customHeight="1">
      <c r="A163" s="40"/>
      <c r="B163" s="196">
        <f>SUM(B159:B162)</f>
        <v>9</v>
      </c>
      <c r="C163" s="196"/>
      <c r="D163" s="196"/>
      <c r="E163" s="199">
        <f>SUM(E159:E162)</f>
        <v>859</v>
      </c>
      <c r="F163" s="131"/>
      <c r="G163" s="131"/>
    </row>
    <row r="164" spans="1:7" ht="17.25" customHeight="1">
      <c r="A164" s="196" t="s">
        <v>14</v>
      </c>
      <c r="B164" s="125">
        <f>B157+B163</f>
        <v>15</v>
      </c>
      <c r="C164" s="125"/>
      <c r="D164" s="125"/>
      <c r="E164" s="125">
        <f>E157+E163</f>
        <v>1484</v>
      </c>
      <c r="F164" s="131"/>
      <c r="G164" s="131"/>
    </row>
    <row r="165" spans="1:7" ht="17.25" customHeight="1">
      <c r="A165" s="199"/>
      <c r="B165" s="126"/>
      <c r="C165" s="127"/>
      <c r="D165" s="125"/>
      <c r="E165" s="125"/>
      <c r="F165" s="131"/>
      <c r="G165" s="131"/>
    </row>
    <row r="166" spans="1:7" ht="27" customHeight="1">
      <c r="A166" s="304" t="s">
        <v>593</v>
      </c>
      <c r="B166" s="305"/>
      <c r="C166" s="305"/>
      <c r="D166" s="305"/>
      <c r="E166" s="305"/>
      <c r="F166" s="131"/>
      <c r="G166" s="131"/>
    </row>
    <row r="167" spans="1:7" ht="23.25" customHeight="1">
      <c r="A167" s="40" t="s">
        <v>211</v>
      </c>
      <c r="B167" s="40" t="s">
        <v>212</v>
      </c>
      <c r="C167" s="40" t="s">
        <v>213</v>
      </c>
      <c r="D167" s="40" t="s">
        <v>214</v>
      </c>
      <c r="E167" s="39" t="s">
        <v>215</v>
      </c>
      <c r="F167" s="131"/>
      <c r="G167" s="131"/>
    </row>
    <row r="168" spans="1:7" ht="17.25" customHeight="1">
      <c r="A168" s="301" t="s">
        <v>222</v>
      </c>
      <c r="B168" s="302"/>
      <c r="C168" s="303"/>
      <c r="D168" s="40"/>
      <c r="E168" s="39"/>
      <c r="F168" s="131"/>
      <c r="G168" s="131"/>
    </row>
    <row r="169" spans="1:7" ht="17.25" customHeight="1">
      <c r="A169" s="40">
        <v>1002</v>
      </c>
      <c r="B169" s="40">
        <v>4</v>
      </c>
      <c r="C169" s="40" t="s">
        <v>236</v>
      </c>
      <c r="D169" s="40" t="s">
        <v>329</v>
      </c>
      <c r="E169" s="40">
        <v>426</v>
      </c>
      <c r="F169" s="131"/>
      <c r="G169" s="131"/>
    </row>
    <row r="170" spans="1:7" ht="17.25" customHeight="1">
      <c r="A170" s="40">
        <v>1006</v>
      </c>
      <c r="B170" s="40">
        <v>1</v>
      </c>
      <c r="C170" s="40" t="s">
        <v>217</v>
      </c>
      <c r="D170" s="40" t="s">
        <v>330</v>
      </c>
      <c r="E170" s="40">
        <v>72</v>
      </c>
      <c r="F170" s="131"/>
      <c r="G170" s="131"/>
    </row>
    <row r="171" spans="1:7" ht="17.25" customHeight="1">
      <c r="A171" s="40">
        <v>1007</v>
      </c>
      <c r="B171" s="40">
        <v>2</v>
      </c>
      <c r="C171" s="40" t="s">
        <v>236</v>
      </c>
      <c r="D171" s="40" t="s">
        <v>331</v>
      </c>
      <c r="E171" s="40">
        <v>213</v>
      </c>
      <c r="F171" s="131"/>
      <c r="G171" s="131"/>
    </row>
    <row r="172" spans="1:7" ht="17.25" customHeight="1">
      <c r="A172" s="40"/>
      <c r="B172" s="196">
        <f>SUM(B169:B171)</f>
        <v>7</v>
      </c>
      <c r="C172" s="196"/>
      <c r="D172" s="196"/>
      <c r="E172" s="196">
        <f>SUM(E169:E171)</f>
        <v>711</v>
      </c>
      <c r="F172" s="131"/>
      <c r="G172" s="131"/>
    </row>
    <row r="173" spans="1:7" ht="17.25" customHeight="1">
      <c r="A173" s="301" t="s">
        <v>216</v>
      </c>
      <c r="B173" s="302"/>
      <c r="C173" s="303"/>
      <c r="D173" s="40"/>
      <c r="E173" s="39"/>
      <c r="F173" s="131"/>
      <c r="G173" s="131"/>
    </row>
    <row r="174" spans="1:8" ht="17.25" customHeight="1">
      <c r="A174" s="70">
        <v>1003</v>
      </c>
      <c r="B174" s="91">
        <v>27</v>
      </c>
      <c r="C174" s="70" t="s">
        <v>217</v>
      </c>
      <c r="D174" s="40" t="s">
        <v>332</v>
      </c>
      <c r="E174" s="70">
        <v>2471</v>
      </c>
      <c r="F174" s="131"/>
      <c r="G174" s="138">
        <f>B174+B175+B177+B178</f>
        <v>41</v>
      </c>
      <c r="H174" s="99">
        <f>B174+B175+B177+B178</f>
        <v>41</v>
      </c>
    </row>
    <row r="175" spans="1:8" ht="17.25" customHeight="1">
      <c r="A175" s="70">
        <v>1004</v>
      </c>
      <c r="B175" s="91">
        <v>3</v>
      </c>
      <c r="C175" s="70" t="s">
        <v>217</v>
      </c>
      <c r="D175" s="40" t="s">
        <v>333</v>
      </c>
      <c r="E175" s="70">
        <v>264</v>
      </c>
      <c r="F175" s="131"/>
      <c r="G175" s="131"/>
      <c r="H175" s="99">
        <f>B176+B179</f>
        <v>2</v>
      </c>
    </row>
    <row r="176" spans="1:7" ht="17.25" customHeight="1">
      <c r="A176" s="70">
        <v>1005</v>
      </c>
      <c r="B176" s="91">
        <v>1</v>
      </c>
      <c r="C176" s="70" t="s">
        <v>227</v>
      </c>
      <c r="D176" s="40" t="s">
        <v>322</v>
      </c>
      <c r="E176" s="70">
        <v>100</v>
      </c>
      <c r="F176" s="131"/>
      <c r="G176" s="131"/>
    </row>
    <row r="177" spans="1:7" ht="17.25" customHeight="1">
      <c r="A177" s="70">
        <v>1009</v>
      </c>
      <c r="B177" s="91">
        <v>8</v>
      </c>
      <c r="C177" s="70" t="s">
        <v>217</v>
      </c>
      <c r="D177" s="40" t="s">
        <v>323</v>
      </c>
      <c r="E177" s="70">
        <v>734</v>
      </c>
      <c r="F177" s="131"/>
      <c r="G177" s="131"/>
    </row>
    <row r="178" spans="1:7" ht="17.25" customHeight="1">
      <c r="A178" s="70">
        <v>1010</v>
      </c>
      <c r="B178" s="91">
        <v>3</v>
      </c>
      <c r="C178" s="70" t="s">
        <v>217</v>
      </c>
      <c r="D178" s="40" t="s">
        <v>333</v>
      </c>
      <c r="E178" s="70">
        <v>254</v>
      </c>
      <c r="F178" s="131"/>
      <c r="G178" s="131"/>
    </row>
    <row r="179" spans="1:7" ht="17.25" customHeight="1">
      <c r="A179" s="70">
        <v>1011</v>
      </c>
      <c r="B179" s="91">
        <v>1</v>
      </c>
      <c r="C179" s="70" t="s">
        <v>236</v>
      </c>
      <c r="D179" s="40" t="s">
        <v>322</v>
      </c>
      <c r="E179" s="70">
        <v>100</v>
      </c>
      <c r="F179" s="131"/>
      <c r="G179" s="131"/>
    </row>
    <row r="180" spans="1:7" ht="17.25" customHeight="1">
      <c r="A180" s="40"/>
      <c r="B180" s="196">
        <f>SUM(B174:B179)</f>
        <v>43</v>
      </c>
      <c r="C180" s="196"/>
      <c r="D180" s="196"/>
      <c r="E180" s="199">
        <f>SUM(E174:E179)</f>
        <v>3923</v>
      </c>
      <c r="F180" s="131"/>
      <c r="G180" s="131"/>
    </row>
    <row r="181" spans="1:7" ht="17.25" customHeight="1">
      <c r="A181" s="301" t="s">
        <v>229</v>
      </c>
      <c r="B181" s="302"/>
      <c r="C181" s="303"/>
      <c r="D181" s="196"/>
      <c r="E181" s="199"/>
      <c r="F181" s="131"/>
      <c r="G181" s="131"/>
    </row>
    <row r="182" spans="1:7" ht="17.25" customHeight="1">
      <c r="A182" s="70">
        <v>1008</v>
      </c>
      <c r="B182" s="91">
        <v>1</v>
      </c>
      <c r="C182" s="70" t="s">
        <v>217</v>
      </c>
      <c r="D182" s="40" t="s">
        <v>322</v>
      </c>
      <c r="E182" s="70">
        <v>45</v>
      </c>
      <c r="F182" s="131"/>
      <c r="G182" s="131"/>
    </row>
    <row r="183" spans="1:7" ht="17.25" customHeight="1">
      <c r="A183" s="40"/>
      <c r="B183" s="196">
        <f>B182</f>
        <v>1</v>
      </c>
      <c r="C183" s="196"/>
      <c r="D183" s="196"/>
      <c r="E183" s="196">
        <f>E182</f>
        <v>45</v>
      </c>
      <c r="F183" s="131"/>
      <c r="G183" s="131"/>
    </row>
    <row r="184" spans="1:7" ht="17.25" customHeight="1">
      <c r="A184" s="196" t="s">
        <v>14</v>
      </c>
      <c r="B184" s="125">
        <f>B172+B180+B183</f>
        <v>51</v>
      </c>
      <c r="C184" s="125"/>
      <c r="D184" s="125"/>
      <c r="E184" s="125">
        <f>E172+E180+E183</f>
        <v>4679</v>
      </c>
      <c r="F184" s="131"/>
      <c r="G184" s="131"/>
    </row>
    <row r="185" spans="1:7" ht="17.25" customHeight="1">
      <c r="A185" s="199"/>
      <c r="B185" s="126"/>
      <c r="C185" s="127"/>
      <c r="D185" s="125"/>
      <c r="E185" s="125"/>
      <c r="F185" s="131"/>
      <c r="G185" s="131"/>
    </row>
    <row r="186" spans="1:7" ht="34.5" customHeight="1">
      <c r="A186" s="304" t="s">
        <v>594</v>
      </c>
      <c r="B186" s="305"/>
      <c r="C186" s="305"/>
      <c r="D186" s="305"/>
      <c r="E186" s="305"/>
      <c r="F186" s="131"/>
      <c r="G186" s="131"/>
    </row>
    <row r="187" spans="1:7" ht="26.25" customHeight="1">
      <c r="A187" s="40" t="s">
        <v>211</v>
      </c>
      <c r="B187" s="40" t="s">
        <v>212</v>
      </c>
      <c r="C187" s="40" t="s">
        <v>213</v>
      </c>
      <c r="D187" s="40" t="s">
        <v>214</v>
      </c>
      <c r="E187" s="39" t="s">
        <v>215</v>
      </c>
      <c r="F187" s="131"/>
      <c r="G187" s="131"/>
    </row>
    <row r="188" spans="1:7" ht="17.25" customHeight="1">
      <c r="A188" s="301" t="s">
        <v>222</v>
      </c>
      <c r="B188" s="302"/>
      <c r="C188" s="303"/>
      <c r="D188" s="40"/>
      <c r="E188" s="39"/>
      <c r="F188" s="131"/>
      <c r="G188" s="131"/>
    </row>
    <row r="189" spans="1:7" ht="18" customHeight="1">
      <c r="A189" s="40">
        <v>1012</v>
      </c>
      <c r="B189" s="178">
        <v>1</v>
      </c>
      <c r="C189" s="178" t="s">
        <v>235</v>
      </c>
      <c r="D189" s="178" t="s">
        <v>259</v>
      </c>
      <c r="E189" s="105">
        <v>56</v>
      </c>
      <c r="F189" s="131"/>
      <c r="G189" s="131"/>
    </row>
    <row r="190" spans="1:7" ht="17.25" customHeight="1">
      <c r="A190" s="207">
        <v>1013</v>
      </c>
      <c r="B190" s="179">
        <v>1</v>
      </c>
      <c r="C190" s="179" t="s">
        <v>217</v>
      </c>
      <c r="D190" s="40" t="s">
        <v>357</v>
      </c>
      <c r="E190" s="179">
        <v>72</v>
      </c>
      <c r="F190" s="131"/>
      <c r="G190" s="131"/>
    </row>
    <row r="191" spans="1:7" ht="17.25" customHeight="1">
      <c r="A191" s="207">
        <v>1014</v>
      </c>
      <c r="B191" s="179">
        <v>5</v>
      </c>
      <c r="C191" s="179" t="s">
        <v>236</v>
      </c>
      <c r="D191" s="40" t="s">
        <v>358</v>
      </c>
      <c r="E191" s="179">
        <v>528</v>
      </c>
      <c r="F191" s="131"/>
      <c r="G191" s="131"/>
    </row>
    <row r="192" spans="1:7" ht="17.25" customHeight="1">
      <c r="A192" s="40"/>
      <c r="B192" s="196">
        <f>SUM(B189:B191)</f>
        <v>7</v>
      </c>
      <c r="C192" s="196"/>
      <c r="D192" s="196"/>
      <c r="E192" s="196">
        <f>SUM(E189:E191)</f>
        <v>656</v>
      </c>
      <c r="F192" s="131"/>
      <c r="G192" s="131"/>
    </row>
    <row r="193" spans="1:7" ht="17.25" customHeight="1">
      <c r="A193" s="301" t="s">
        <v>216</v>
      </c>
      <c r="B193" s="302"/>
      <c r="C193" s="303"/>
      <c r="D193" s="40"/>
      <c r="E193" s="39"/>
      <c r="F193" s="131"/>
      <c r="G193" s="131"/>
    </row>
    <row r="194" spans="1:7" ht="17.25" customHeight="1">
      <c r="A194" s="40">
        <v>1020</v>
      </c>
      <c r="B194" s="60">
        <v>10</v>
      </c>
      <c r="C194" s="197" t="s">
        <v>360</v>
      </c>
      <c r="D194" s="60" t="s">
        <v>361</v>
      </c>
      <c r="E194" s="60">
        <v>1765</v>
      </c>
      <c r="F194" s="131"/>
      <c r="G194" s="131"/>
    </row>
    <row r="195" spans="1:7" ht="17.25" customHeight="1">
      <c r="A195" s="70">
        <v>1016</v>
      </c>
      <c r="B195" s="91">
        <v>2</v>
      </c>
      <c r="C195" s="70" t="s">
        <v>235</v>
      </c>
      <c r="D195" s="105" t="s">
        <v>294</v>
      </c>
      <c r="E195" s="106">
        <v>84</v>
      </c>
      <c r="F195" s="131"/>
      <c r="G195" s="131"/>
    </row>
    <row r="196" spans="1:7" ht="17.25" customHeight="1">
      <c r="A196" s="70">
        <v>1017</v>
      </c>
      <c r="B196" s="91">
        <v>19</v>
      </c>
      <c r="C196" s="70" t="s">
        <v>217</v>
      </c>
      <c r="D196" s="105" t="s">
        <v>359</v>
      </c>
      <c r="E196" s="106">
        <v>1705</v>
      </c>
      <c r="F196" s="131"/>
      <c r="G196" s="131"/>
    </row>
    <row r="197" spans="1:7" ht="17.25" customHeight="1">
      <c r="A197" s="70">
        <v>1018</v>
      </c>
      <c r="B197" s="91">
        <v>3</v>
      </c>
      <c r="C197" s="70" t="s">
        <v>217</v>
      </c>
      <c r="D197" s="105" t="s">
        <v>238</v>
      </c>
      <c r="E197" s="106">
        <v>254</v>
      </c>
      <c r="F197" s="131"/>
      <c r="G197" s="131"/>
    </row>
    <row r="198" spans="1:7" ht="17.25" customHeight="1">
      <c r="A198" s="70">
        <v>1019</v>
      </c>
      <c r="B198" s="91">
        <v>1</v>
      </c>
      <c r="C198" s="70" t="s">
        <v>236</v>
      </c>
      <c r="D198" s="105" t="s">
        <v>237</v>
      </c>
      <c r="E198" s="106">
        <v>100</v>
      </c>
      <c r="F198" s="131"/>
      <c r="G198" s="131"/>
    </row>
    <row r="199" spans="1:7" ht="17.25" customHeight="1">
      <c r="A199" s="40"/>
      <c r="B199" s="196">
        <f>SUM(B194:B198)</f>
        <v>35</v>
      </c>
      <c r="C199" s="196"/>
      <c r="D199" s="196"/>
      <c r="E199" s="196">
        <f>SUM(E194:E198)</f>
        <v>3908</v>
      </c>
      <c r="F199" s="131"/>
      <c r="G199" s="131"/>
    </row>
    <row r="200" spans="1:7" ht="17.25" customHeight="1">
      <c r="A200" s="301" t="s">
        <v>229</v>
      </c>
      <c r="B200" s="302"/>
      <c r="C200" s="303"/>
      <c r="D200" s="156"/>
      <c r="E200" s="196"/>
      <c r="F200" s="131"/>
      <c r="G200" s="131"/>
    </row>
    <row r="201" spans="1:7" ht="17.25" customHeight="1">
      <c r="A201" s="70">
        <v>1015</v>
      </c>
      <c r="B201" s="91">
        <v>1</v>
      </c>
      <c r="C201" s="70" t="s">
        <v>217</v>
      </c>
      <c r="D201" s="105" t="s">
        <v>237</v>
      </c>
      <c r="E201" s="106">
        <v>45</v>
      </c>
      <c r="F201" s="131"/>
      <c r="G201" s="131"/>
    </row>
    <row r="202" spans="1:7" ht="17.25" customHeight="1">
      <c r="A202" s="40"/>
      <c r="B202" s="196">
        <f>B201</f>
        <v>1</v>
      </c>
      <c r="C202" s="196"/>
      <c r="D202" s="196"/>
      <c r="E202" s="196">
        <f>E201</f>
        <v>45</v>
      </c>
      <c r="F202" s="131"/>
      <c r="G202" s="131"/>
    </row>
    <row r="203" spans="1:7" ht="17.25" customHeight="1">
      <c r="A203" s="196" t="s">
        <v>14</v>
      </c>
      <c r="B203" s="125">
        <f>B192+B199+B202</f>
        <v>43</v>
      </c>
      <c r="C203" s="125"/>
      <c r="D203" s="125"/>
      <c r="E203" s="125">
        <f>E192+E199+E202</f>
        <v>4609</v>
      </c>
      <c r="F203" s="131"/>
      <c r="G203" s="131"/>
    </row>
    <row r="204" spans="1:7" ht="17.25" customHeight="1">
      <c r="A204" s="199"/>
      <c r="B204" s="126"/>
      <c r="C204" s="127"/>
      <c r="D204" s="125"/>
      <c r="E204" s="125"/>
      <c r="F204" s="131"/>
      <c r="G204" s="131"/>
    </row>
    <row r="205" spans="1:7" ht="26.25" customHeight="1">
      <c r="A205" s="304" t="s">
        <v>595</v>
      </c>
      <c r="B205" s="305"/>
      <c r="C205" s="305"/>
      <c r="D205" s="305"/>
      <c r="E205" s="305"/>
      <c r="F205" s="131"/>
      <c r="G205" s="131"/>
    </row>
    <row r="206" spans="1:7" ht="29.25" customHeight="1">
      <c r="A206" s="40" t="s">
        <v>211</v>
      </c>
      <c r="B206" s="40" t="s">
        <v>212</v>
      </c>
      <c r="C206" s="40" t="s">
        <v>213</v>
      </c>
      <c r="D206" s="40" t="s">
        <v>214</v>
      </c>
      <c r="E206" s="39" t="s">
        <v>215</v>
      </c>
      <c r="F206" s="131"/>
      <c r="G206" s="131"/>
    </row>
    <row r="207" spans="1:7" ht="19.5" customHeight="1">
      <c r="A207" s="301" t="s">
        <v>222</v>
      </c>
      <c r="B207" s="302"/>
      <c r="C207" s="303"/>
      <c r="D207" s="40"/>
      <c r="E207" s="39"/>
      <c r="F207" s="131"/>
      <c r="G207" s="131"/>
    </row>
    <row r="208" spans="1:7" ht="30">
      <c r="A208" s="40">
        <v>1021</v>
      </c>
      <c r="B208" s="178">
        <v>11</v>
      </c>
      <c r="C208" s="179" t="s">
        <v>236</v>
      </c>
      <c r="D208" s="40" t="s">
        <v>372</v>
      </c>
      <c r="E208" s="179">
        <v>1147</v>
      </c>
      <c r="F208" s="131"/>
      <c r="G208" s="131"/>
    </row>
    <row r="209" spans="1:7" ht="17.25" customHeight="1">
      <c r="A209" s="40"/>
      <c r="B209" s="196">
        <f>SUM(B208:B208)</f>
        <v>11</v>
      </c>
      <c r="C209" s="196"/>
      <c r="D209" s="196"/>
      <c r="E209" s="196">
        <f>SUM(E208:E208)</f>
        <v>1147</v>
      </c>
      <c r="F209" s="131"/>
      <c r="G209" s="131"/>
    </row>
    <row r="210" spans="1:7" ht="17.25" customHeight="1">
      <c r="A210" s="301" t="s">
        <v>216</v>
      </c>
      <c r="B210" s="302"/>
      <c r="C210" s="303"/>
      <c r="D210" s="40"/>
      <c r="E210" s="39"/>
      <c r="F210" s="131"/>
      <c r="G210" s="131"/>
    </row>
    <row r="211" spans="1:7" ht="21" customHeight="1">
      <c r="A211" s="70">
        <v>1022</v>
      </c>
      <c r="B211" s="91">
        <v>25</v>
      </c>
      <c r="C211" s="180" t="s">
        <v>377</v>
      </c>
      <c r="D211" s="105" t="s">
        <v>373</v>
      </c>
      <c r="E211" s="106">
        <v>2568</v>
      </c>
      <c r="F211" s="131"/>
      <c r="G211" s="131"/>
    </row>
    <row r="212" spans="1:7" ht="28.5" customHeight="1">
      <c r="A212" s="70">
        <v>1023</v>
      </c>
      <c r="B212" s="91">
        <v>25</v>
      </c>
      <c r="C212" s="180" t="s">
        <v>231</v>
      </c>
      <c r="D212" s="105" t="s">
        <v>374</v>
      </c>
      <c r="E212" s="106">
        <v>2601</v>
      </c>
      <c r="F212" s="131"/>
      <c r="G212" s="131"/>
    </row>
    <row r="213" spans="1:7" ht="21" customHeight="1">
      <c r="A213" s="70">
        <v>1024</v>
      </c>
      <c r="B213" s="91">
        <v>20</v>
      </c>
      <c r="C213" s="180" t="s">
        <v>378</v>
      </c>
      <c r="D213" s="105" t="s">
        <v>375</v>
      </c>
      <c r="E213" s="106">
        <v>3542</v>
      </c>
      <c r="F213" s="131"/>
      <c r="G213" s="131"/>
    </row>
    <row r="214" spans="1:7" ht="21" customHeight="1">
      <c r="A214" s="40">
        <v>1025</v>
      </c>
      <c r="B214" s="60">
        <v>30</v>
      </c>
      <c r="C214" s="197" t="s">
        <v>379</v>
      </c>
      <c r="D214" s="105" t="s">
        <v>376</v>
      </c>
      <c r="E214" s="105">
        <v>7261</v>
      </c>
      <c r="F214" s="131"/>
      <c r="G214" s="131"/>
    </row>
    <row r="215" spans="1:7" ht="22.5" customHeight="1">
      <c r="A215" s="70">
        <v>1027</v>
      </c>
      <c r="B215" s="91">
        <v>1</v>
      </c>
      <c r="C215" s="70" t="s">
        <v>235</v>
      </c>
      <c r="D215" s="105" t="s">
        <v>237</v>
      </c>
      <c r="E215" s="106">
        <v>36</v>
      </c>
      <c r="F215" s="131"/>
      <c r="G215" s="131"/>
    </row>
    <row r="216" spans="1:7" ht="22.5" customHeight="1">
      <c r="A216" s="70">
        <v>1028</v>
      </c>
      <c r="B216" s="91">
        <v>22</v>
      </c>
      <c r="C216" s="70" t="s">
        <v>217</v>
      </c>
      <c r="D216" s="105" t="s">
        <v>380</v>
      </c>
      <c r="E216" s="106">
        <v>1976</v>
      </c>
      <c r="F216" s="131"/>
      <c r="G216" s="131"/>
    </row>
    <row r="217" spans="1:7" ht="22.5" customHeight="1">
      <c r="A217" s="70">
        <v>1029</v>
      </c>
      <c r="B217" s="91">
        <v>11</v>
      </c>
      <c r="C217" s="70" t="s">
        <v>217</v>
      </c>
      <c r="D217" s="105" t="s">
        <v>381</v>
      </c>
      <c r="E217" s="106">
        <v>926</v>
      </c>
      <c r="F217" s="131"/>
      <c r="G217" s="131"/>
    </row>
    <row r="218" spans="1:7" ht="22.5" customHeight="1">
      <c r="A218" s="70">
        <v>1030</v>
      </c>
      <c r="B218" s="91">
        <v>3</v>
      </c>
      <c r="C218" s="70" t="s">
        <v>236</v>
      </c>
      <c r="D218" s="105" t="s">
        <v>238</v>
      </c>
      <c r="E218" s="106">
        <v>300</v>
      </c>
      <c r="F218" s="131"/>
      <c r="G218" s="131"/>
    </row>
    <row r="219" spans="1:7" ht="17.25" customHeight="1">
      <c r="A219" s="40"/>
      <c r="B219" s="196">
        <f>SUM(B211:B218)</f>
        <v>137</v>
      </c>
      <c r="C219" s="196"/>
      <c r="D219" s="196"/>
      <c r="E219" s="196">
        <f>SUM(E211:E218)</f>
        <v>19210</v>
      </c>
      <c r="F219" s="131"/>
      <c r="G219" s="131"/>
    </row>
    <row r="220" spans="1:7" ht="17.25" customHeight="1">
      <c r="A220" s="301" t="s">
        <v>229</v>
      </c>
      <c r="B220" s="302"/>
      <c r="C220" s="303"/>
      <c r="D220" s="196"/>
      <c r="E220" s="196"/>
      <c r="F220" s="131"/>
      <c r="G220" s="131"/>
    </row>
    <row r="221" spans="1:7" ht="16.5" customHeight="1">
      <c r="A221" s="70">
        <v>1026</v>
      </c>
      <c r="B221" s="91">
        <v>1</v>
      </c>
      <c r="C221" s="70" t="s">
        <v>217</v>
      </c>
      <c r="D221" s="105" t="s">
        <v>237</v>
      </c>
      <c r="E221" s="106">
        <v>45</v>
      </c>
      <c r="F221" s="131"/>
      <c r="G221" s="131"/>
    </row>
    <row r="222" spans="1:7" ht="17.25" customHeight="1">
      <c r="A222" s="40"/>
      <c r="B222" s="196">
        <f>B221</f>
        <v>1</v>
      </c>
      <c r="C222" s="196"/>
      <c r="D222" s="196"/>
      <c r="E222" s="196">
        <f>E221</f>
        <v>45</v>
      </c>
      <c r="F222" s="131"/>
      <c r="G222" s="131"/>
    </row>
    <row r="223" spans="1:7" ht="17.25" customHeight="1">
      <c r="A223" s="196" t="s">
        <v>14</v>
      </c>
      <c r="B223" s="125">
        <f>B209+B219+B222</f>
        <v>149</v>
      </c>
      <c r="C223" s="125"/>
      <c r="D223" s="125"/>
      <c r="E223" s="125">
        <f>E209+E219+E222</f>
        <v>20402</v>
      </c>
      <c r="F223" s="131"/>
      <c r="G223" s="131"/>
    </row>
    <row r="224" spans="1:7" ht="17.25" customHeight="1">
      <c r="A224" s="199"/>
      <c r="B224" s="126"/>
      <c r="C224" s="127"/>
      <c r="D224" s="125"/>
      <c r="E224" s="125"/>
      <c r="F224" s="131"/>
      <c r="G224" s="131"/>
    </row>
    <row r="225" spans="1:7" ht="28.5" customHeight="1">
      <c r="A225" s="304" t="s">
        <v>596</v>
      </c>
      <c r="B225" s="305"/>
      <c r="C225" s="305"/>
      <c r="D225" s="305"/>
      <c r="E225" s="305"/>
      <c r="F225" s="131"/>
      <c r="G225" s="131"/>
    </row>
    <row r="226" spans="1:7" ht="24" customHeight="1">
      <c r="A226" s="40" t="s">
        <v>211</v>
      </c>
      <c r="B226" s="40" t="s">
        <v>212</v>
      </c>
      <c r="C226" s="40" t="s">
        <v>213</v>
      </c>
      <c r="D226" s="40" t="s">
        <v>214</v>
      </c>
      <c r="E226" s="39" t="s">
        <v>215</v>
      </c>
      <c r="F226" s="131"/>
      <c r="G226" s="131"/>
    </row>
    <row r="227" spans="1:7" ht="17.25" customHeight="1">
      <c r="A227" s="301" t="s">
        <v>222</v>
      </c>
      <c r="B227" s="302"/>
      <c r="C227" s="303"/>
      <c r="D227" s="40"/>
      <c r="E227" s="39"/>
      <c r="F227" s="131"/>
      <c r="G227" s="131"/>
    </row>
    <row r="228" spans="1:7" ht="30.75" customHeight="1">
      <c r="A228" s="70">
        <v>205</v>
      </c>
      <c r="B228" s="91">
        <v>17</v>
      </c>
      <c r="C228" s="91" t="s">
        <v>223</v>
      </c>
      <c r="D228" s="70" t="s">
        <v>382</v>
      </c>
      <c r="E228" s="106">
        <v>1056</v>
      </c>
      <c r="F228" s="131"/>
      <c r="G228" s="131"/>
    </row>
    <row r="229" spans="1:7" ht="17.25" customHeight="1">
      <c r="A229" s="40">
        <v>206</v>
      </c>
      <c r="B229" s="105">
        <v>8</v>
      </c>
      <c r="C229" s="105" t="s">
        <v>224</v>
      </c>
      <c r="D229" s="105" t="s">
        <v>383</v>
      </c>
      <c r="E229" s="105">
        <v>643</v>
      </c>
      <c r="F229" s="131"/>
      <c r="G229" s="131"/>
    </row>
    <row r="230" spans="1:7" ht="17.25" customHeight="1">
      <c r="A230" s="40"/>
      <c r="B230" s="196">
        <f>SUM(B228:B229)</f>
        <v>25</v>
      </c>
      <c r="C230" s="196"/>
      <c r="D230" s="196"/>
      <c r="E230" s="196">
        <f>SUM(E228:E229)</f>
        <v>1699</v>
      </c>
      <c r="F230" s="131"/>
      <c r="G230" s="131"/>
    </row>
    <row r="231" spans="1:7" ht="17.25" customHeight="1">
      <c r="A231" s="301" t="s">
        <v>216</v>
      </c>
      <c r="B231" s="302"/>
      <c r="C231" s="303"/>
      <c r="D231" s="40"/>
      <c r="E231" s="39"/>
      <c r="F231" s="131"/>
      <c r="G231" s="131"/>
    </row>
    <row r="232" spans="1:7" ht="17.25" customHeight="1">
      <c r="A232" s="40">
        <v>207</v>
      </c>
      <c r="B232" s="60">
        <v>15</v>
      </c>
      <c r="C232" s="40" t="s">
        <v>223</v>
      </c>
      <c r="D232" s="60" t="s">
        <v>384</v>
      </c>
      <c r="E232" s="40">
        <v>772</v>
      </c>
      <c r="F232" s="131"/>
      <c r="G232" s="131">
        <f>B232+B237</f>
        <v>18</v>
      </c>
    </row>
    <row r="233" spans="1:7" ht="17.25" customHeight="1">
      <c r="A233" s="40">
        <v>208</v>
      </c>
      <c r="B233" s="40">
        <v>2</v>
      </c>
      <c r="C233" s="40" t="s">
        <v>224</v>
      </c>
      <c r="D233" s="40" t="s">
        <v>385</v>
      </c>
      <c r="E233" s="40">
        <v>143</v>
      </c>
      <c r="F233" s="131"/>
      <c r="G233" s="131">
        <f>B233+B238</f>
        <v>5</v>
      </c>
    </row>
    <row r="234" spans="1:7" ht="17.25" customHeight="1">
      <c r="A234" s="40">
        <v>211</v>
      </c>
      <c r="B234" s="40">
        <v>2</v>
      </c>
      <c r="C234" s="197" t="s">
        <v>231</v>
      </c>
      <c r="D234" s="40" t="s">
        <v>386</v>
      </c>
      <c r="E234" s="40">
        <v>248</v>
      </c>
      <c r="F234" s="131"/>
      <c r="G234" s="131"/>
    </row>
    <row r="235" spans="1:7" ht="17.25" customHeight="1">
      <c r="A235" s="40">
        <v>212</v>
      </c>
      <c r="B235" s="40">
        <v>4</v>
      </c>
      <c r="C235" s="197" t="s">
        <v>239</v>
      </c>
      <c r="D235" s="40" t="s">
        <v>387</v>
      </c>
      <c r="E235" s="40">
        <v>800</v>
      </c>
      <c r="F235" s="131"/>
      <c r="G235" s="131"/>
    </row>
    <row r="236" spans="1:7" ht="17.25" customHeight="1">
      <c r="A236" s="40">
        <v>214</v>
      </c>
      <c r="B236" s="40">
        <v>2</v>
      </c>
      <c r="C236" s="197" t="s">
        <v>242</v>
      </c>
      <c r="D236" s="40" t="s">
        <v>388</v>
      </c>
      <c r="E236" s="40">
        <v>585</v>
      </c>
      <c r="F236" s="131"/>
      <c r="G236" s="131"/>
    </row>
    <row r="237" spans="1:7" ht="17.25" customHeight="1">
      <c r="A237" s="40">
        <v>215</v>
      </c>
      <c r="B237" s="40">
        <v>3</v>
      </c>
      <c r="C237" s="40" t="s">
        <v>223</v>
      </c>
      <c r="D237" s="40" t="s">
        <v>394</v>
      </c>
      <c r="E237" s="40">
        <v>162</v>
      </c>
      <c r="F237" s="131"/>
      <c r="G237" s="131"/>
    </row>
    <row r="238" spans="1:7" ht="17.25" customHeight="1">
      <c r="A238" s="40">
        <v>216</v>
      </c>
      <c r="B238" s="40">
        <v>3</v>
      </c>
      <c r="C238" s="40" t="s">
        <v>224</v>
      </c>
      <c r="D238" s="40" t="s">
        <v>395</v>
      </c>
      <c r="E238" s="40">
        <v>200</v>
      </c>
      <c r="F238" s="131"/>
      <c r="G238" s="131"/>
    </row>
    <row r="239" spans="1:7" ht="25.5" customHeight="1">
      <c r="A239" s="40">
        <v>213</v>
      </c>
      <c r="B239" s="40">
        <v>3</v>
      </c>
      <c r="C239" s="197" t="s">
        <v>389</v>
      </c>
      <c r="D239" s="40" t="s">
        <v>390</v>
      </c>
      <c r="E239" s="40">
        <v>580</v>
      </c>
      <c r="F239" s="131"/>
      <c r="G239" s="131"/>
    </row>
    <row r="240" spans="1:7" ht="17.25" customHeight="1">
      <c r="A240" s="40"/>
      <c r="B240" s="196">
        <f>SUM(B232:B239)</f>
        <v>34</v>
      </c>
      <c r="C240" s="196"/>
      <c r="D240" s="196"/>
      <c r="E240" s="196">
        <f>SUM(E232:E239)</f>
        <v>3490</v>
      </c>
      <c r="F240" s="131"/>
      <c r="G240" s="131"/>
    </row>
    <row r="241" spans="1:7" ht="17.25" customHeight="1">
      <c r="A241" s="301" t="s">
        <v>228</v>
      </c>
      <c r="B241" s="302"/>
      <c r="C241" s="303"/>
      <c r="D241" s="196"/>
      <c r="E241" s="196"/>
      <c r="F241" s="131"/>
      <c r="G241" s="131"/>
    </row>
    <row r="242" spans="1:7" ht="17.25" customHeight="1">
      <c r="A242" s="40">
        <v>209</v>
      </c>
      <c r="B242" s="60">
        <v>5</v>
      </c>
      <c r="C242" s="60" t="s">
        <v>224</v>
      </c>
      <c r="D242" s="60" t="s">
        <v>392</v>
      </c>
      <c r="E242" s="40">
        <v>281</v>
      </c>
      <c r="F242" s="131"/>
      <c r="G242" s="131"/>
    </row>
    <row r="243" spans="1:7" ht="17.25" customHeight="1">
      <c r="A243" s="40"/>
      <c r="B243" s="196">
        <f>B242</f>
        <v>5</v>
      </c>
      <c r="C243" s="196"/>
      <c r="D243" s="196"/>
      <c r="E243" s="196">
        <f>E242</f>
        <v>281</v>
      </c>
      <c r="F243" s="131"/>
      <c r="G243" s="131"/>
    </row>
    <row r="244" spans="1:7" ht="17.25" customHeight="1">
      <c r="A244" s="301" t="s">
        <v>229</v>
      </c>
      <c r="B244" s="302"/>
      <c r="C244" s="303"/>
      <c r="D244" s="196"/>
      <c r="E244" s="196"/>
      <c r="F244" s="131"/>
      <c r="G244" s="131"/>
    </row>
    <row r="245" spans="1:7" ht="17.25" customHeight="1">
      <c r="A245" s="40">
        <v>210</v>
      </c>
      <c r="B245" s="40">
        <v>1</v>
      </c>
      <c r="C245" s="40" t="s">
        <v>224</v>
      </c>
      <c r="D245" s="40" t="s">
        <v>391</v>
      </c>
      <c r="E245" s="40">
        <v>56</v>
      </c>
      <c r="F245" s="131"/>
      <c r="G245" s="131"/>
    </row>
    <row r="246" spans="1:7" ht="17.25" customHeight="1">
      <c r="A246" s="40"/>
      <c r="B246" s="196">
        <f>B245</f>
        <v>1</v>
      </c>
      <c r="C246" s="196"/>
      <c r="D246" s="196"/>
      <c r="E246" s="196">
        <f>E245</f>
        <v>56</v>
      </c>
      <c r="F246" s="131"/>
      <c r="G246" s="131"/>
    </row>
    <row r="247" spans="1:7" ht="17.25" customHeight="1">
      <c r="A247" s="196" t="s">
        <v>14</v>
      </c>
      <c r="B247" s="125">
        <f>B230+B240+B246+B243</f>
        <v>65</v>
      </c>
      <c r="C247" s="125"/>
      <c r="D247" s="125"/>
      <c r="E247" s="125">
        <f>E230+E240+E246+E243</f>
        <v>5526</v>
      </c>
      <c r="F247" s="131"/>
      <c r="G247" s="131"/>
    </row>
    <row r="248" spans="1:7" ht="17.25" customHeight="1">
      <c r="A248" s="199"/>
      <c r="B248" s="126"/>
      <c r="C248" s="127"/>
      <c r="D248" s="125"/>
      <c r="E248" s="125"/>
      <c r="F248" s="131"/>
      <c r="G248" s="131"/>
    </row>
    <row r="249" spans="1:7" ht="28.5" customHeight="1">
      <c r="A249" s="304" t="s">
        <v>597</v>
      </c>
      <c r="B249" s="305"/>
      <c r="C249" s="305"/>
      <c r="D249" s="305"/>
      <c r="E249" s="305"/>
      <c r="F249" s="131"/>
      <c r="G249" s="131"/>
    </row>
    <row r="250" spans="1:7" ht="24" customHeight="1">
      <c r="A250" s="40" t="s">
        <v>211</v>
      </c>
      <c r="B250" s="40" t="s">
        <v>212</v>
      </c>
      <c r="C250" s="40" t="s">
        <v>213</v>
      </c>
      <c r="D250" s="40" t="s">
        <v>214</v>
      </c>
      <c r="E250" s="39" t="s">
        <v>215</v>
      </c>
      <c r="F250" s="131"/>
      <c r="G250" s="131"/>
    </row>
    <row r="251" spans="1:7" ht="17.25" customHeight="1">
      <c r="A251" s="301" t="s">
        <v>222</v>
      </c>
      <c r="B251" s="302"/>
      <c r="C251" s="303"/>
      <c r="D251" s="40"/>
      <c r="E251" s="39"/>
      <c r="F251" s="131"/>
      <c r="G251" s="131"/>
    </row>
    <row r="252" spans="1:7" ht="17.25" customHeight="1">
      <c r="A252" s="60">
        <v>23108</v>
      </c>
      <c r="B252" s="60">
        <v>4</v>
      </c>
      <c r="C252" s="40" t="s">
        <v>224</v>
      </c>
      <c r="D252" s="40" t="s">
        <v>399</v>
      </c>
      <c r="E252" s="60">
        <v>334</v>
      </c>
      <c r="F252" s="131"/>
      <c r="G252" s="131"/>
    </row>
    <row r="253" spans="1:7" ht="17.25" customHeight="1">
      <c r="A253" s="40"/>
      <c r="B253" s="196">
        <f>SUM(B252:B252)</f>
        <v>4</v>
      </c>
      <c r="C253" s="196"/>
      <c r="D253" s="196"/>
      <c r="E253" s="196">
        <f>SUM(E252:E252)</f>
        <v>334</v>
      </c>
      <c r="F253" s="131"/>
      <c r="G253" s="131"/>
    </row>
    <row r="254" spans="1:7" ht="17.25" customHeight="1">
      <c r="A254" s="301" t="s">
        <v>216</v>
      </c>
      <c r="B254" s="302"/>
      <c r="C254" s="303"/>
      <c r="D254" s="40"/>
      <c r="E254" s="39"/>
      <c r="F254" s="131"/>
      <c r="G254" s="131"/>
    </row>
    <row r="255" spans="1:7" ht="17.25" customHeight="1">
      <c r="A255" s="60">
        <v>23110</v>
      </c>
      <c r="B255" s="60">
        <v>2</v>
      </c>
      <c r="C255" s="60" t="s">
        <v>223</v>
      </c>
      <c r="D255" s="60" t="s">
        <v>401</v>
      </c>
      <c r="E255" s="60">
        <v>108</v>
      </c>
      <c r="F255" s="131"/>
      <c r="G255" s="131"/>
    </row>
    <row r="256" spans="1:7" ht="17.25" customHeight="1">
      <c r="A256" s="40">
        <v>23111</v>
      </c>
      <c r="B256" s="40">
        <v>3</v>
      </c>
      <c r="C256" s="181" t="s">
        <v>239</v>
      </c>
      <c r="D256" s="40" t="s">
        <v>402</v>
      </c>
      <c r="E256" s="40">
        <v>590</v>
      </c>
      <c r="F256" s="131"/>
      <c r="G256" s="131"/>
    </row>
    <row r="257" spans="1:7" ht="17.25" customHeight="1">
      <c r="A257" s="40">
        <v>23112</v>
      </c>
      <c r="B257" s="40">
        <v>1</v>
      </c>
      <c r="C257" s="197" t="s">
        <v>242</v>
      </c>
      <c r="D257" s="40" t="s">
        <v>282</v>
      </c>
      <c r="E257" s="40">
        <v>290</v>
      </c>
      <c r="F257" s="131"/>
      <c r="G257" s="131"/>
    </row>
    <row r="258" spans="1:7" ht="17.25" customHeight="1">
      <c r="A258" s="40">
        <v>23113</v>
      </c>
      <c r="B258" s="40">
        <v>1</v>
      </c>
      <c r="C258" s="197" t="s">
        <v>403</v>
      </c>
      <c r="D258" s="40" t="s">
        <v>404</v>
      </c>
      <c r="E258" s="40">
        <v>430</v>
      </c>
      <c r="F258" s="131"/>
      <c r="G258" s="131"/>
    </row>
    <row r="259" spans="1:7" ht="17.25" customHeight="1">
      <c r="A259" s="40"/>
      <c r="B259" s="196">
        <f>SUM(B255:B258)</f>
        <v>7</v>
      </c>
      <c r="C259" s="196"/>
      <c r="D259" s="196"/>
      <c r="E259" s="196">
        <f>SUM(E255:E258)</f>
        <v>1418</v>
      </c>
      <c r="F259" s="131"/>
      <c r="G259" s="131"/>
    </row>
    <row r="260" spans="1:7" ht="17.25" customHeight="1">
      <c r="A260" s="196" t="s">
        <v>14</v>
      </c>
      <c r="B260" s="125">
        <f>B253+B259</f>
        <v>11</v>
      </c>
      <c r="C260" s="125"/>
      <c r="D260" s="125"/>
      <c r="E260" s="125">
        <f>E253+E259</f>
        <v>1752</v>
      </c>
      <c r="F260" s="131"/>
      <c r="G260" s="131"/>
    </row>
    <row r="261" spans="1:7" ht="17.25" customHeight="1">
      <c r="A261" s="199"/>
      <c r="B261" s="126"/>
      <c r="C261" s="127"/>
      <c r="D261" s="125"/>
      <c r="E261" s="125"/>
      <c r="F261" s="131"/>
      <c r="G261" s="131"/>
    </row>
    <row r="262" spans="1:7" ht="26.25" customHeight="1">
      <c r="A262" s="304" t="s">
        <v>598</v>
      </c>
      <c r="B262" s="305"/>
      <c r="C262" s="305"/>
      <c r="D262" s="305"/>
      <c r="E262" s="305"/>
      <c r="F262" s="131"/>
      <c r="G262" s="131"/>
    </row>
    <row r="263" spans="1:7" ht="25.5" customHeight="1">
      <c r="A263" s="40" t="s">
        <v>211</v>
      </c>
      <c r="B263" s="40" t="s">
        <v>212</v>
      </c>
      <c r="C263" s="40" t="s">
        <v>213</v>
      </c>
      <c r="D263" s="40" t="s">
        <v>214</v>
      </c>
      <c r="E263" s="39" t="s">
        <v>215</v>
      </c>
      <c r="F263" s="131"/>
      <c r="G263" s="131"/>
    </row>
    <row r="264" spans="1:7" ht="17.25" customHeight="1">
      <c r="A264" s="301" t="s">
        <v>222</v>
      </c>
      <c r="B264" s="302"/>
      <c r="C264" s="303"/>
      <c r="D264" s="40"/>
      <c r="E264" s="39"/>
      <c r="F264" s="131"/>
      <c r="G264" s="131"/>
    </row>
    <row r="265" spans="1:7" ht="17.25" customHeight="1">
      <c r="A265" s="60">
        <v>23109</v>
      </c>
      <c r="B265" s="60">
        <v>8</v>
      </c>
      <c r="C265" s="40" t="s">
        <v>227</v>
      </c>
      <c r="D265" s="40" t="s">
        <v>400</v>
      </c>
      <c r="E265" s="60">
        <v>894</v>
      </c>
      <c r="F265" s="131"/>
      <c r="G265" s="131"/>
    </row>
    <row r="266" spans="1:7" ht="17.25" customHeight="1">
      <c r="A266" s="40"/>
      <c r="B266" s="196">
        <f>SUM(B265:B265)</f>
        <v>8</v>
      </c>
      <c r="C266" s="196"/>
      <c r="D266" s="196"/>
      <c r="E266" s="196">
        <f>SUM(E265:E265)</f>
        <v>894</v>
      </c>
      <c r="F266" s="131"/>
      <c r="G266" s="131"/>
    </row>
    <row r="267" spans="1:7" ht="17.25" customHeight="1">
      <c r="A267" s="301" t="s">
        <v>216</v>
      </c>
      <c r="B267" s="302"/>
      <c r="C267" s="303"/>
      <c r="D267" s="40"/>
      <c r="E267" s="39"/>
      <c r="F267" s="131"/>
      <c r="G267" s="131"/>
    </row>
    <row r="268" spans="1:7" ht="17.25" customHeight="1">
      <c r="A268" s="60">
        <v>23114</v>
      </c>
      <c r="B268" s="60">
        <v>2</v>
      </c>
      <c r="C268" s="40" t="s">
        <v>227</v>
      </c>
      <c r="D268" s="40" t="s">
        <v>405</v>
      </c>
      <c r="E268" s="60">
        <v>147</v>
      </c>
      <c r="F268" s="131"/>
      <c r="G268" s="131"/>
    </row>
    <row r="269" spans="1:7" ht="17.25" customHeight="1">
      <c r="A269" s="60">
        <v>23114</v>
      </c>
      <c r="B269" s="60">
        <v>1</v>
      </c>
      <c r="C269" s="197" t="s">
        <v>231</v>
      </c>
      <c r="D269" s="70" t="s">
        <v>406</v>
      </c>
      <c r="E269" s="40">
        <v>90</v>
      </c>
      <c r="F269" s="131"/>
      <c r="G269" s="131"/>
    </row>
    <row r="270" spans="1:7" ht="17.25" customHeight="1">
      <c r="A270" s="40"/>
      <c r="B270" s="196">
        <f>SUM(B268:B269)</f>
        <v>3</v>
      </c>
      <c r="C270" s="196"/>
      <c r="D270" s="196"/>
      <c r="E270" s="196">
        <f>SUM(E268:E269)</f>
        <v>237</v>
      </c>
      <c r="F270" s="131"/>
      <c r="G270" s="131"/>
    </row>
    <row r="271" spans="1:7" ht="17.25" customHeight="1">
      <c r="A271" s="301" t="s">
        <v>229</v>
      </c>
      <c r="B271" s="302"/>
      <c r="C271" s="303"/>
      <c r="D271" s="196"/>
      <c r="E271" s="199"/>
      <c r="F271" s="131"/>
      <c r="G271" s="131"/>
    </row>
    <row r="272" spans="1:7" ht="17.25" customHeight="1">
      <c r="A272" s="42">
        <v>23139</v>
      </c>
      <c r="B272" s="60">
        <v>10</v>
      </c>
      <c r="C272" s="40" t="s">
        <v>217</v>
      </c>
      <c r="D272" s="70" t="s">
        <v>411</v>
      </c>
      <c r="E272" s="40">
        <v>675</v>
      </c>
      <c r="F272" s="131"/>
      <c r="G272" s="131"/>
    </row>
    <row r="273" spans="1:7" ht="17.25" customHeight="1">
      <c r="A273" s="40"/>
      <c r="B273" s="196">
        <f>B272</f>
        <v>10</v>
      </c>
      <c r="C273" s="196"/>
      <c r="D273" s="196"/>
      <c r="E273" s="196">
        <f>E272</f>
        <v>675</v>
      </c>
      <c r="F273" s="131"/>
      <c r="G273" s="131"/>
    </row>
    <row r="274" spans="1:7" ht="17.25" customHeight="1">
      <c r="A274" s="196" t="s">
        <v>14</v>
      </c>
      <c r="B274" s="125">
        <f>B266+B270+B273</f>
        <v>21</v>
      </c>
      <c r="C274" s="125"/>
      <c r="D274" s="125"/>
      <c r="E274" s="125">
        <f>E266+E270+E273</f>
        <v>1806</v>
      </c>
      <c r="F274" s="131"/>
      <c r="G274" s="131"/>
    </row>
    <row r="275" spans="1:7" ht="17.25" customHeight="1">
      <c r="A275" s="199"/>
      <c r="B275" s="126"/>
      <c r="C275" s="127"/>
      <c r="D275" s="125"/>
      <c r="E275" s="125"/>
      <c r="F275" s="131"/>
      <c r="G275" s="131"/>
    </row>
    <row r="276" spans="1:7" ht="33.75" customHeight="1">
      <c r="A276" s="304" t="s">
        <v>599</v>
      </c>
      <c r="B276" s="305"/>
      <c r="C276" s="305"/>
      <c r="D276" s="305"/>
      <c r="E276" s="305"/>
      <c r="F276" s="131"/>
      <c r="G276" s="131"/>
    </row>
    <row r="277" spans="1:7" ht="23.25" customHeight="1">
      <c r="A277" s="40" t="s">
        <v>211</v>
      </c>
      <c r="B277" s="40" t="s">
        <v>212</v>
      </c>
      <c r="C277" s="40" t="s">
        <v>213</v>
      </c>
      <c r="D277" s="40" t="s">
        <v>214</v>
      </c>
      <c r="E277" s="39" t="s">
        <v>215</v>
      </c>
      <c r="F277" s="131"/>
      <c r="G277" s="131"/>
    </row>
    <row r="278" spans="1:7" ht="17.25" customHeight="1">
      <c r="A278" s="301" t="s">
        <v>222</v>
      </c>
      <c r="B278" s="302"/>
      <c r="C278" s="303"/>
      <c r="D278" s="40"/>
      <c r="E278" s="39"/>
      <c r="F278" s="131"/>
      <c r="G278" s="131"/>
    </row>
    <row r="279" spans="1:7" ht="17.25" customHeight="1">
      <c r="A279" s="70">
        <v>2</v>
      </c>
      <c r="B279" s="91">
        <v>2</v>
      </c>
      <c r="C279" s="60" t="s">
        <v>223</v>
      </c>
      <c r="D279" s="179" t="s">
        <v>416</v>
      </c>
      <c r="E279" s="70">
        <v>116</v>
      </c>
      <c r="F279" s="131"/>
      <c r="G279" s="131"/>
    </row>
    <row r="280" spans="1:7" ht="17.25" customHeight="1">
      <c r="A280" s="70">
        <v>3</v>
      </c>
      <c r="B280" s="60">
        <v>8</v>
      </c>
      <c r="C280" s="91" t="s">
        <v>224</v>
      </c>
      <c r="D280" s="60" t="s">
        <v>417</v>
      </c>
      <c r="E280" s="40">
        <v>646</v>
      </c>
      <c r="F280" s="131"/>
      <c r="G280" s="131"/>
    </row>
    <row r="281" spans="1:7" ht="17.25" customHeight="1">
      <c r="A281" s="70">
        <v>4</v>
      </c>
      <c r="B281" s="91">
        <v>12</v>
      </c>
      <c r="C281" s="60" t="s">
        <v>227</v>
      </c>
      <c r="D281" s="70" t="s">
        <v>418</v>
      </c>
      <c r="E281" s="70">
        <v>1335</v>
      </c>
      <c r="F281" s="131"/>
      <c r="G281" s="131"/>
    </row>
    <row r="282" spans="1:7" ht="17.25" customHeight="1">
      <c r="A282" s="70">
        <v>5</v>
      </c>
      <c r="B282" s="40">
        <v>2</v>
      </c>
      <c r="C282" s="197" t="s">
        <v>424</v>
      </c>
      <c r="D282" s="105" t="s">
        <v>419</v>
      </c>
      <c r="E282" s="178">
        <v>1300</v>
      </c>
      <c r="F282" s="131"/>
      <c r="G282" s="131"/>
    </row>
    <row r="283" spans="1:7" ht="17.25" customHeight="1">
      <c r="A283" s="70">
        <v>6</v>
      </c>
      <c r="B283" s="104">
        <v>2</v>
      </c>
      <c r="C283" s="108" t="s">
        <v>425</v>
      </c>
      <c r="D283" s="104" t="s">
        <v>420</v>
      </c>
      <c r="E283" s="104">
        <v>2000</v>
      </c>
      <c r="F283" s="131"/>
      <c r="G283" s="131"/>
    </row>
    <row r="284" spans="1:7" ht="17.25" customHeight="1">
      <c r="A284" s="40"/>
      <c r="B284" s="196">
        <f>SUM(B279:B283)</f>
        <v>26</v>
      </c>
      <c r="C284" s="196"/>
      <c r="D284" s="196"/>
      <c r="E284" s="196">
        <f>SUM(E279:E283)</f>
        <v>5397</v>
      </c>
      <c r="F284" s="131"/>
      <c r="G284" s="131"/>
    </row>
    <row r="285" spans="1:7" ht="17.25" customHeight="1">
      <c r="A285" s="301" t="s">
        <v>216</v>
      </c>
      <c r="B285" s="302"/>
      <c r="C285" s="303"/>
      <c r="D285" s="40"/>
      <c r="E285" s="39"/>
      <c r="F285" s="131"/>
      <c r="G285" s="131"/>
    </row>
    <row r="286" spans="1:7" ht="17.25" customHeight="1">
      <c r="A286" s="70">
        <v>7</v>
      </c>
      <c r="B286" s="60">
        <v>3</v>
      </c>
      <c r="C286" s="40" t="s">
        <v>223</v>
      </c>
      <c r="D286" s="70" t="s">
        <v>421</v>
      </c>
      <c r="E286" s="40">
        <v>150</v>
      </c>
      <c r="F286" s="131"/>
      <c r="G286" s="131"/>
    </row>
    <row r="287" spans="1:7" ht="17.25" customHeight="1">
      <c r="A287" s="40">
        <v>8</v>
      </c>
      <c r="B287" s="60">
        <v>11</v>
      </c>
      <c r="C287" s="132" t="s">
        <v>231</v>
      </c>
      <c r="D287" s="178" t="s">
        <v>507</v>
      </c>
      <c r="E287" s="40">
        <v>1229</v>
      </c>
      <c r="F287" s="131"/>
      <c r="G287" s="131"/>
    </row>
    <row r="288" spans="1:7" ht="17.25" customHeight="1">
      <c r="A288" s="40">
        <v>9</v>
      </c>
      <c r="B288" s="40">
        <v>6</v>
      </c>
      <c r="C288" s="132" t="s">
        <v>239</v>
      </c>
      <c r="D288" s="178" t="s">
        <v>508</v>
      </c>
      <c r="E288" s="40">
        <v>1229</v>
      </c>
      <c r="F288" s="131"/>
      <c r="G288" s="131"/>
    </row>
    <row r="289" spans="1:7" ht="17.25" customHeight="1">
      <c r="A289" s="137">
        <v>10</v>
      </c>
      <c r="B289" s="104">
        <v>9</v>
      </c>
      <c r="C289" s="108" t="s">
        <v>242</v>
      </c>
      <c r="D289" s="104" t="s">
        <v>423</v>
      </c>
      <c r="E289" s="104">
        <v>2357</v>
      </c>
      <c r="F289" s="131"/>
      <c r="G289" s="131"/>
    </row>
    <row r="290" spans="1:7" ht="17.25" customHeight="1">
      <c r="A290" s="40"/>
      <c r="B290" s="196">
        <f>SUM(B286:B289)</f>
        <v>29</v>
      </c>
      <c r="C290" s="196"/>
      <c r="D290" s="196"/>
      <c r="E290" s="196">
        <f>SUM(E286:E289)</f>
        <v>4965</v>
      </c>
      <c r="F290" s="131"/>
      <c r="G290" s="131"/>
    </row>
    <row r="291" spans="1:7" ht="17.25" customHeight="1">
      <c r="A291" s="301" t="s">
        <v>228</v>
      </c>
      <c r="B291" s="302"/>
      <c r="C291" s="303"/>
      <c r="D291" s="196"/>
      <c r="E291" s="199"/>
      <c r="F291" s="131"/>
      <c r="G291" s="131"/>
    </row>
    <row r="292" spans="1:7" ht="17.25" customHeight="1">
      <c r="A292" s="70">
        <v>1</v>
      </c>
      <c r="B292" s="91">
        <v>3</v>
      </c>
      <c r="C292" s="91" t="s">
        <v>224</v>
      </c>
      <c r="D292" s="70" t="s">
        <v>422</v>
      </c>
      <c r="E292" s="70">
        <v>186</v>
      </c>
      <c r="F292" s="131"/>
      <c r="G292" s="131"/>
    </row>
    <row r="293" spans="1:7" ht="17.25" customHeight="1">
      <c r="A293" s="40"/>
      <c r="B293" s="196">
        <f>B292</f>
        <v>3</v>
      </c>
      <c r="C293" s="196"/>
      <c r="D293" s="196"/>
      <c r="E293" s="196">
        <f>E292</f>
        <v>186</v>
      </c>
      <c r="F293" s="131"/>
      <c r="G293" s="131"/>
    </row>
    <row r="294" spans="1:7" ht="17.25" customHeight="1">
      <c r="A294" s="196" t="s">
        <v>14</v>
      </c>
      <c r="B294" s="125">
        <f>B284+B290+B293</f>
        <v>58</v>
      </c>
      <c r="C294" s="125"/>
      <c r="D294" s="125"/>
      <c r="E294" s="125">
        <f>E284+E290+E293</f>
        <v>10548</v>
      </c>
      <c r="F294" s="125"/>
      <c r="G294" s="125"/>
    </row>
    <row r="295" spans="1:7" ht="17.25" customHeight="1">
      <c r="A295" s="199"/>
      <c r="B295" s="126"/>
      <c r="C295" s="127"/>
      <c r="D295" s="125"/>
      <c r="E295" s="125"/>
      <c r="F295" s="131"/>
      <c r="G295" s="131"/>
    </row>
    <row r="296" spans="1:7" ht="31.5" customHeight="1">
      <c r="A296" s="304" t="s">
        <v>600</v>
      </c>
      <c r="B296" s="305"/>
      <c r="C296" s="305"/>
      <c r="D296" s="305"/>
      <c r="E296" s="305"/>
      <c r="F296" s="131"/>
      <c r="G296" s="131"/>
    </row>
    <row r="297" spans="1:7" ht="24" customHeight="1">
      <c r="A297" s="40" t="s">
        <v>211</v>
      </c>
      <c r="B297" s="40" t="s">
        <v>212</v>
      </c>
      <c r="C297" s="40" t="s">
        <v>213</v>
      </c>
      <c r="D297" s="40" t="s">
        <v>214</v>
      </c>
      <c r="E297" s="39" t="s">
        <v>215</v>
      </c>
      <c r="F297" s="131"/>
      <c r="G297" s="131"/>
    </row>
    <row r="298" spans="1:7" ht="17.25" customHeight="1">
      <c r="A298" s="301" t="s">
        <v>222</v>
      </c>
      <c r="B298" s="302"/>
      <c r="C298" s="303"/>
      <c r="D298" s="40"/>
      <c r="E298" s="39"/>
      <c r="F298" s="131"/>
      <c r="G298" s="131"/>
    </row>
    <row r="299" spans="1:7" ht="17.25" customHeight="1">
      <c r="A299" s="182" t="s">
        <v>426</v>
      </c>
      <c r="B299" s="183">
        <v>1</v>
      </c>
      <c r="C299" s="105" t="s">
        <v>224</v>
      </c>
      <c r="D299" s="183" t="s">
        <v>427</v>
      </c>
      <c r="E299" s="183">
        <v>85</v>
      </c>
      <c r="F299" s="131"/>
      <c r="G299" s="131"/>
    </row>
    <row r="300" spans="1:7" ht="17.25" customHeight="1">
      <c r="A300" s="105" t="s">
        <v>428</v>
      </c>
      <c r="B300" s="105">
        <v>2</v>
      </c>
      <c r="C300" s="105" t="s">
        <v>227</v>
      </c>
      <c r="D300" s="184" t="s">
        <v>429</v>
      </c>
      <c r="E300" s="105">
        <v>244</v>
      </c>
      <c r="F300" s="131"/>
      <c r="G300" s="131"/>
    </row>
    <row r="301" spans="1:7" ht="17.25" customHeight="1">
      <c r="A301" s="40"/>
      <c r="B301" s="196">
        <f>SUM(B299:B300)</f>
        <v>3</v>
      </c>
      <c r="C301" s="196"/>
      <c r="D301" s="196"/>
      <c r="E301" s="196">
        <f>SUM(E299:E300)</f>
        <v>329</v>
      </c>
      <c r="F301" s="131"/>
      <c r="G301" s="131"/>
    </row>
    <row r="302" spans="1:7" ht="17.25" customHeight="1">
      <c r="A302" s="301" t="s">
        <v>216</v>
      </c>
      <c r="B302" s="302"/>
      <c r="C302" s="303"/>
      <c r="D302" s="40"/>
      <c r="E302" s="39"/>
      <c r="F302" s="131"/>
      <c r="G302" s="131"/>
    </row>
    <row r="303" spans="1:7" ht="17.25" customHeight="1">
      <c r="A303" s="109" t="s">
        <v>430</v>
      </c>
      <c r="B303" s="60">
        <v>2</v>
      </c>
      <c r="C303" s="132" t="s">
        <v>231</v>
      </c>
      <c r="D303" s="70" t="s">
        <v>431</v>
      </c>
      <c r="E303" s="40">
        <v>234</v>
      </c>
      <c r="F303" s="131"/>
      <c r="G303" s="131"/>
    </row>
    <row r="304" spans="1:7" ht="17.25" customHeight="1">
      <c r="A304" s="109" t="s">
        <v>430</v>
      </c>
      <c r="B304" s="40">
        <v>2</v>
      </c>
      <c r="C304" s="197" t="s">
        <v>239</v>
      </c>
      <c r="D304" s="40" t="s">
        <v>432</v>
      </c>
      <c r="E304" s="40">
        <v>420</v>
      </c>
      <c r="F304" s="131"/>
      <c r="G304" s="131"/>
    </row>
    <row r="305" spans="1:7" ht="17.25" customHeight="1">
      <c r="A305" s="109" t="s">
        <v>430</v>
      </c>
      <c r="B305" s="40">
        <v>2</v>
      </c>
      <c r="C305" s="197" t="s">
        <v>433</v>
      </c>
      <c r="D305" s="40" t="s">
        <v>434</v>
      </c>
      <c r="E305" s="40">
        <v>555</v>
      </c>
      <c r="F305" s="131"/>
      <c r="G305" s="131"/>
    </row>
    <row r="306" spans="1:7" ht="17.25" customHeight="1">
      <c r="A306" s="185" t="s">
        <v>435</v>
      </c>
      <c r="B306" s="91">
        <v>2</v>
      </c>
      <c r="C306" s="70" t="s">
        <v>227</v>
      </c>
      <c r="D306" s="70" t="s">
        <v>436</v>
      </c>
      <c r="E306" s="70">
        <v>165</v>
      </c>
      <c r="F306" s="131"/>
      <c r="G306" s="131"/>
    </row>
    <row r="307" spans="1:7" ht="17.25" customHeight="1">
      <c r="A307" s="40"/>
      <c r="B307" s="196">
        <f>SUM(B303:B306)</f>
        <v>8</v>
      </c>
      <c r="C307" s="196"/>
      <c r="D307" s="196"/>
      <c r="E307" s="196">
        <f>SUM(E303:E306)</f>
        <v>1374</v>
      </c>
      <c r="F307" s="131"/>
      <c r="G307" s="131"/>
    </row>
    <row r="308" spans="1:7" ht="17.25" customHeight="1">
      <c r="A308" s="196" t="s">
        <v>14</v>
      </c>
      <c r="B308" s="125">
        <f>B301+B307</f>
        <v>11</v>
      </c>
      <c r="C308" s="125"/>
      <c r="D308" s="125"/>
      <c r="E308" s="125">
        <f>E301+E307</f>
        <v>1703</v>
      </c>
      <c r="F308" s="125"/>
      <c r="G308" s="125"/>
    </row>
    <row r="309" spans="1:7" ht="17.25" customHeight="1">
      <c r="A309" s="199"/>
      <c r="B309" s="126"/>
      <c r="C309" s="127"/>
      <c r="D309" s="125"/>
      <c r="E309" s="125"/>
      <c r="F309" s="190"/>
      <c r="G309" s="190"/>
    </row>
    <row r="310" spans="1:7" ht="27.75" customHeight="1">
      <c r="A310" s="304" t="s">
        <v>601</v>
      </c>
      <c r="B310" s="305"/>
      <c r="C310" s="305"/>
      <c r="D310" s="305"/>
      <c r="E310" s="305"/>
      <c r="F310" s="190"/>
      <c r="G310" s="190"/>
    </row>
    <row r="311" spans="1:7" ht="26.25" customHeight="1">
      <c r="A311" s="40" t="s">
        <v>211</v>
      </c>
      <c r="B311" s="40" t="s">
        <v>212</v>
      </c>
      <c r="C311" s="40" t="s">
        <v>213</v>
      </c>
      <c r="D311" s="40" t="s">
        <v>214</v>
      </c>
      <c r="E311" s="39" t="s">
        <v>215</v>
      </c>
      <c r="F311" s="190"/>
      <c r="G311" s="190"/>
    </row>
    <row r="312" spans="1:7" ht="17.25" customHeight="1">
      <c r="A312" s="301" t="s">
        <v>222</v>
      </c>
      <c r="B312" s="302"/>
      <c r="C312" s="303"/>
      <c r="D312" s="40"/>
      <c r="E312" s="39"/>
      <c r="F312" s="190"/>
      <c r="G312" s="190"/>
    </row>
    <row r="313" spans="1:7" ht="17.25" customHeight="1">
      <c r="A313" s="91">
        <v>1294</v>
      </c>
      <c r="B313" s="91">
        <v>2</v>
      </c>
      <c r="C313" s="91" t="s">
        <v>223</v>
      </c>
      <c r="D313" s="70" t="s">
        <v>447</v>
      </c>
      <c r="E313" s="91">
        <v>110</v>
      </c>
      <c r="F313" s="190"/>
      <c r="G313" s="190"/>
    </row>
    <row r="314" spans="1:7" ht="30" customHeight="1">
      <c r="A314" s="70">
        <v>1295</v>
      </c>
      <c r="B314" s="91">
        <v>18</v>
      </c>
      <c r="C314" s="91" t="s">
        <v>449</v>
      </c>
      <c r="D314" s="70" t="s">
        <v>448</v>
      </c>
      <c r="E314" s="70">
        <v>1398</v>
      </c>
      <c r="F314" s="190"/>
      <c r="G314" s="190"/>
    </row>
    <row r="315" spans="1:7" ht="17.25" customHeight="1">
      <c r="A315" s="40"/>
      <c r="B315" s="196">
        <f>SUM(B313:B314)</f>
        <v>20</v>
      </c>
      <c r="C315" s="196"/>
      <c r="D315" s="196"/>
      <c r="E315" s="196">
        <f>SUM(E313:E314)</f>
        <v>1508</v>
      </c>
      <c r="F315" s="190"/>
      <c r="G315" s="190"/>
    </row>
    <row r="316" spans="1:7" ht="17.25" customHeight="1">
      <c r="A316" s="301" t="s">
        <v>216</v>
      </c>
      <c r="B316" s="302"/>
      <c r="C316" s="303"/>
      <c r="D316" s="40"/>
      <c r="E316" s="39"/>
      <c r="F316" s="190"/>
      <c r="G316" s="190"/>
    </row>
    <row r="317" spans="1:7" ht="31.5" customHeight="1">
      <c r="A317" s="136">
        <v>1298</v>
      </c>
      <c r="B317" s="60">
        <v>28</v>
      </c>
      <c r="C317" s="197" t="s">
        <v>450</v>
      </c>
      <c r="D317" s="40" t="s">
        <v>452</v>
      </c>
      <c r="E317" s="104">
        <v>8400</v>
      </c>
      <c r="F317" s="190"/>
      <c r="G317" s="190"/>
    </row>
    <row r="318" spans="1:7" ht="17.25" customHeight="1">
      <c r="A318" s="135">
        <v>1299</v>
      </c>
      <c r="B318" s="91">
        <v>7</v>
      </c>
      <c r="C318" s="197" t="s">
        <v>451</v>
      </c>
      <c r="D318" s="40" t="s">
        <v>453</v>
      </c>
      <c r="E318" s="104">
        <v>3500</v>
      </c>
      <c r="F318" s="190"/>
      <c r="G318" s="190"/>
    </row>
    <row r="319" spans="1:7" ht="30.75" customHeight="1">
      <c r="A319" s="135">
        <v>1300</v>
      </c>
      <c r="B319" s="91">
        <v>9</v>
      </c>
      <c r="C319" s="224" t="s">
        <v>231</v>
      </c>
      <c r="D319" s="40" t="s">
        <v>454</v>
      </c>
      <c r="E319" s="104">
        <v>1120</v>
      </c>
      <c r="F319" s="190"/>
      <c r="G319" s="190"/>
    </row>
    <row r="320" spans="1:7" ht="27" customHeight="1">
      <c r="A320" s="135">
        <v>1301</v>
      </c>
      <c r="B320" s="91">
        <v>6</v>
      </c>
      <c r="C320" s="224" t="s">
        <v>239</v>
      </c>
      <c r="D320" s="40" t="s">
        <v>455</v>
      </c>
      <c r="E320" s="104">
        <v>1280</v>
      </c>
      <c r="F320" s="190"/>
      <c r="G320" s="190"/>
    </row>
    <row r="321" spans="1:7" ht="30" customHeight="1">
      <c r="A321" s="135">
        <v>1302</v>
      </c>
      <c r="B321" s="91">
        <v>8</v>
      </c>
      <c r="C321" s="224" t="s">
        <v>242</v>
      </c>
      <c r="D321" s="40" t="s">
        <v>456</v>
      </c>
      <c r="E321" s="104">
        <v>2175</v>
      </c>
      <c r="F321" s="190"/>
      <c r="G321" s="190"/>
    </row>
    <row r="322" spans="1:7" ht="17.25" customHeight="1">
      <c r="A322" s="136">
        <v>1296</v>
      </c>
      <c r="B322" s="60">
        <v>25</v>
      </c>
      <c r="C322" s="40" t="s">
        <v>217</v>
      </c>
      <c r="D322" s="105" t="s">
        <v>225</v>
      </c>
      <c r="E322" s="60">
        <v>1418</v>
      </c>
      <c r="F322" s="190"/>
      <c r="G322" s="190"/>
    </row>
    <row r="323" spans="1:7" ht="17.25" customHeight="1">
      <c r="A323" s="225">
        <v>1297</v>
      </c>
      <c r="B323" s="91">
        <v>11</v>
      </c>
      <c r="C323" s="40" t="s">
        <v>217</v>
      </c>
      <c r="D323" s="105" t="s">
        <v>381</v>
      </c>
      <c r="E323" s="91">
        <v>630</v>
      </c>
      <c r="F323" s="190"/>
      <c r="G323" s="190"/>
    </row>
    <row r="324" spans="1:7" ht="17.25" customHeight="1">
      <c r="A324" s="40"/>
      <c r="B324" s="196">
        <f>SUM(B317:B323)</f>
        <v>94</v>
      </c>
      <c r="C324" s="196"/>
      <c r="D324" s="196"/>
      <c r="E324" s="196">
        <f>SUM(E317:E323)</f>
        <v>18523</v>
      </c>
      <c r="F324" s="190"/>
      <c r="G324" s="190"/>
    </row>
    <row r="325" spans="1:7" ht="17.25" customHeight="1">
      <c r="A325" s="196" t="s">
        <v>14</v>
      </c>
      <c r="B325" s="125">
        <f>B315+B324</f>
        <v>114</v>
      </c>
      <c r="C325" s="125"/>
      <c r="D325" s="125"/>
      <c r="E325" s="125">
        <f>E315+E324</f>
        <v>20031</v>
      </c>
      <c r="F325" s="190"/>
      <c r="G325" s="190"/>
    </row>
    <row r="326" spans="1:7" ht="17.25" customHeight="1">
      <c r="A326" s="199"/>
      <c r="B326" s="126"/>
      <c r="C326" s="127"/>
      <c r="D326" s="125"/>
      <c r="E326" s="125"/>
      <c r="F326" s="190"/>
      <c r="G326" s="190"/>
    </row>
    <row r="327" spans="1:7" ht="28.5" customHeight="1">
      <c r="A327" s="304" t="s">
        <v>602</v>
      </c>
      <c r="B327" s="305"/>
      <c r="C327" s="305"/>
      <c r="D327" s="305"/>
      <c r="E327" s="305"/>
      <c r="F327" s="190"/>
      <c r="G327" s="190"/>
    </row>
    <row r="328" spans="1:7" ht="22.5" customHeight="1">
      <c r="A328" s="40" t="s">
        <v>211</v>
      </c>
      <c r="B328" s="40" t="s">
        <v>212</v>
      </c>
      <c r="C328" s="40" t="s">
        <v>213</v>
      </c>
      <c r="D328" s="40" t="s">
        <v>214</v>
      </c>
      <c r="E328" s="39" t="s">
        <v>215</v>
      </c>
      <c r="F328" s="190"/>
      <c r="G328" s="190"/>
    </row>
    <row r="329" spans="1:7" ht="17.25" customHeight="1">
      <c r="A329" s="301" t="s">
        <v>216</v>
      </c>
      <c r="B329" s="302"/>
      <c r="C329" s="303"/>
      <c r="D329" s="196"/>
      <c r="E329" s="199"/>
      <c r="F329" s="190"/>
      <c r="G329" s="190"/>
    </row>
    <row r="330" spans="1:7" ht="17.25" customHeight="1">
      <c r="A330" s="226">
        <v>116</v>
      </c>
      <c r="B330" s="227">
        <v>8</v>
      </c>
      <c r="C330" s="228" t="s">
        <v>355</v>
      </c>
      <c r="D330" s="229" t="s">
        <v>460</v>
      </c>
      <c r="E330" s="230">
        <v>904</v>
      </c>
      <c r="F330" s="190"/>
      <c r="G330" s="190"/>
    </row>
    <row r="331" spans="1:7" ht="35.25" customHeight="1">
      <c r="A331" s="111">
        <v>117</v>
      </c>
      <c r="B331" s="112">
        <v>23</v>
      </c>
      <c r="C331" s="124" t="s">
        <v>239</v>
      </c>
      <c r="D331" s="117" t="s">
        <v>457</v>
      </c>
      <c r="E331" s="116">
        <v>4905</v>
      </c>
      <c r="F331" s="190"/>
      <c r="G331" s="190"/>
    </row>
    <row r="332" spans="1:7" ht="17.25" customHeight="1">
      <c r="A332" s="111">
        <v>111</v>
      </c>
      <c r="B332" s="112">
        <v>25</v>
      </c>
      <c r="C332" s="113" t="s">
        <v>217</v>
      </c>
      <c r="D332" s="117" t="s">
        <v>225</v>
      </c>
      <c r="E332" s="116">
        <v>1122</v>
      </c>
      <c r="F332" s="190"/>
      <c r="G332" s="190"/>
    </row>
    <row r="333" spans="1:7" ht="17.25" customHeight="1">
      <c r="A333" s="112">
        <v>112</v>
      </c>
      <c r="B333" s="112">
        <v>16</v>
      </c>
      <c r="C333" s="113" t="s">
        <v>217</v>
      </c>
      <c r="D333" s="117" t="s">
        <v>458</v>
      </c>
      <c r="E333" s="113">
        <v>732</v>
      </c>
      <c r="F333" s="190"/>
      <c r="G333" s="190"/>
    </row>
    <row r="334" spans="1:7" ht="17.25" customHeight="1">
      <c r="A334" s="111">
        <v>113</v>
      </c>
      <c r="B334" s="112">
        <v>25</v>
      </c>
      <c r="C334" s="113" t="s">
        <v>217</v>
      </c>
      <c r="D334" s="117" t="s">
        <v>225</v>
      </c>
      <c r="E334" s="104">
        <v>1122</v>
      </c>
      <c r="F334" s="190"/>
      <c r="G334" s="190"/>
    </row>
    <row r="335" spans="1:7" ht="17.25" customHeight="1">
      <c r="A335" s="112">
        <v>114</v>
      </c>
      <c r="B335" s="112">
        <v>25</v>
      </c>
      <c r="C335" s="113" t="s">
        <v>217</v>
      </c>
      <c r="D335" s="117" t="s">
        <v>225</v>
      </c>
      <c r="E335" s="104">
        <v>1132</v>
      </c>
      <c r="F335" s="190"/>
      <c r="G335" s="190"/>
    </row>
    <row r="336" spans="1:7" ht="17.25" customHeight="1">
      <c r="A336" s="112">
        <v>115</v>
      </c>
      <c r="B336" s="112">
        <v>10</v>
      </c>
      <c r="C336" s="113" t="s">
        <v>217</v>
      </c>
      <c r="D336" s="117" t="s">
        <v>459</v>
      </c>
      <c r="E336" s="104">
        <v>449</v>
      </c>
      <c r="F336" s="190"/>
      <c r="G336" s="190"/>
    </row>
    <row r="337" spans="1:7" ht="17.25" customHeight="1">
      <c r="A337" s="191"/>
      <c r="B337" s="192">
        <f>SUM(B330:B336)</f>
        <v>132</v>
      </c>
      <c r="C337" s="192"/>
      <c r="D337" s="192"/>
      <c r="E337" s="192">
        <f>SUM(E330:E336)</f>
        <v>10366</v>
      </c>
      <c r="F337" s="190"/>
      <c r="G337" s="190"/>
    </row>
    <row r="338" spans="1:7" ht="17.25" customHeight="1">
      <c r="A338" s="196" t="s">
        <v>14</v>
      </c>
      <c r="B338" s="125">
        <f>SUM(B330:B336)</f>
        <v>132</v>
      </c>
      <c r="C338" s="125"/>
      <c r="D338" s="125"/>
      <c r="E338" s="125">
        <f>SUM(E330:E336)</f>
        <v>10366</v>
      </c>
      <c r="F338" s="190"/>
      <c r="G338" s="190"/>
    </row>
    <row r="339" spans="1:7" ht="17.25" customHeight="1">
      <c r="A339" s="199"/>
      <c r="B339" s="126"/>
      <c r="C339" s="127"/>
      <c r="D339" s="125"/>
      <c r="E339" s="125"/>
      <c r="F339" s="190"/>
      <c r="G339" s="190"/>
    </row>
    <row r="340" spans="1:7" ht="26.25" customHeight="1">
      <c r="A340" s="304" t="s">
        <v>603</v>
      </c>
      <c r="B340" s="305"/>
      <c r="C340" s="305"/>
      <c r="D340" s="305"/>
      <c r="E340" s="305"/>
      <c r="F340" s="190"/>
      <c r="G340" s="190"/>
    </row>
    <row r="341" spans="1:7" ht="28.5" customHeight="1">
      <c r="A341" s="40" t="s">
        <v>211</v>
      </c>
      <c r="B341" s="40" t="s">
        <v>212</v>
      </c>
      <c r="C341" s="40" t="s">
        <v>213</v>
      </c>
      <c r="D341" s="40" t="s">
        <v>214</v>
      </c>
      <c r="E341" s="39" t="s">
        <v>215</v>
      </c>
      <c r="F341" s="190"/>
      <c r="G341" s="190"/>
    </row>
    <row r="342" spans="1:7" ht="17.25" customHeight="1">
      <c r="A342" s="301" t="s">
        <v>222</v>
      </c>
      <c r="B342" s="302"/>
      <c r="C342" s="303"/>
      <c r="D342" s="40"/>
      <c r="E342" s="39"/>
      <c r="F342" s="190"/>
      <c r="G342" s="190"/>
    </row>
    <row r="343" spans="1:7" ht="17.25" customHeight="1">
      <c r="A343" s="60" t="s">
        <v>461</v>
      </c>
      <c r="B343" s="60">
        <v>11</v>
      </c>
      <c r="C343" s="60" t="s">
        <v>223</v>
      </c>
      <c r="D343" s="105" t="s">
        <v>462</v>
      </c>
      <c r="E343" s="178">
        <v>653.7</v>
      </c>
      <c r="F343" s="190"/>
      <c r="G343" s="190"/>
    </row>
    <row r="344" spans="1:7" ht="17.25" customHeight="1">
      <c r="A344" s="60" t="s">
        <v>463</v>
      </c>
      <c r="B344" s="60">
        <v>3</v>
      </c>
      <c r="C344" s="60" t="s">
        <v>217</v>
      </c>
      <c r="D344" s="105" t="s">
        <v>464</v>
      </c>
      <c r="E344" s="178">
        <v>235.05</v>
      </c>
      <c r="F344" s="190"/>
      <c r="G344" s="190"/>
    </row>
    <row r="345" spans="1:7" ht="17.25" customHeight="1">
      <c r="A345" s="60" t="s">
        <v>465</v>
      </c>
      <c r="B345" s="60">
        <v>1</v>
      </c>
      <c r="C345" s="40" t="s">
        <v>470</v>
      </c>
      <c r="D345" s="105" t="s">
        <v>471</v>
      </c>
      <c r="E345" s="178">
        <v>50</v>
      </c>
      <c r="F345" s="190"/>
      <c r="G345" s="190"/>
    </row>
    <row r="346" spans="1:7" ht="17.25" customHeight="1">
      <c r="A346" s="40"/>
      <c r="B346" s="196">
        <f>SUM(B343:B345)</f>
        <v>15</v>
      </c>
      <c r="C346" s="196"/>
      <c r="D346" s="196"/>
      <c r="E346" s="196">
        <f>SUM(E343:E345)</f>
        <v>938.75</v>
      </c>
      <c r="F346" s="190"/>
      <c r="G346" s="190"/>
    </row>
    <row r="347" spans="1:7" ht="17.25" customHeight="1">
      <c r="A347" s="301" t="s">
        <v>216</v>
      </c>
      <c r="B347" s="302"/>
      <c r="C347" s="303"/>
      <c r="D347" s="40"/>
      <c r="E347" s="39"/>
      <c r="F347" s="190"/>
      <c r="G347" s="190"/>
    </row>
    <row r="348" spans="1:7" ht="17.25" customHeight="1">
      <c r="A348" s="60" t="s">
        <v>466</v>
      </c>
      <c r="B348" s="60">
        <v>5</v>
      </c>
      <c r="C348" s="40" t="s">
        <v>223</v>
      </c>
      <c r="D348" s="105" t="s">
        <v>467</v>
      </c>
      <c r="E348" s="178">
        <v>300</v>
      </c>
      <c r="F348" s="190"/>
      <c r="G348" s="190"/>
    </row>
    <row r="349" spans="1:7" ht="17.25" customHeight="1">
      <c r="A349" s="60" t="s">
        <v>468</v>
      </c>
      <c r="B349" s="60">
        <v>5</v>
      </c>
      <c r="C349" s="40" t="s">
        <v>475</v>
      </c>
      <c r="D349" s="105" t="s">
        <v>473</v>
      </c>
      <c r="E349" s="178">
        <v>304</v>
      </c>
      <c r="F349" s="190"/>
      <c r="G349" s="190"/>
    </row>
    <row r="350" spans="1:7" ht="17.25" customHeight="1">
      <c r="A350" s="60" t="s">
        <v>469</v>
      </c>
      <c r="B350" s="60">
        <v>4</v>
      </c>
      <c r="C350" s="40" t="s">
        <v>472</v>
      </c>
      <c r="D350" s="105" t="s">
        <v>474</v>
      </c>
      <c r="E350" s="178">
        <v>165</v>
      </c>
      <c r="F350" s="190"/>
      <c r="G350" s="190"/>
    </row>
    <row r="351" spans="1:7" ht="17.25" customHeight="1">
      <c r="A351" s="40"/>
      <c r="B351" s="196">
        <f>SUM(B348:B350)</f>
        <v>14</v>
      </c>
      <c r="C351" s="196"/>
      <c r="D351" s="196"/>
      <c r="E351" s="196">
        <f>SUM(E348:E350)</f>
        <v>769</v>
      </c>
      <c r="F351" s="190"/>
      <c r="G351" s="190"/>
    </row>
    <row r="352" spans="1:7" ht="17.25" customHeight="1">
      <c r="A352" s="196" t="s">
        <v>14</v>
      </c>
      <c r="B352" s="125">
        <f>B346+B351</f>
        <v>29</v>
      </c>
      <c r="C352" s="125"/>
      <c r="D352" s="125"/>
      <c r="E352" s="125">
        <f>E346+E351</f>
        <v>1707.75</v>
      </c>
      <c r="F352" s="190"/>
      <c r="G352" s="190"/>
    </row>
    <row r="353" spans="1:7" ht="17.25" customHeight="1">
      <c r="A353" s="199"/>
      <c r="B353" s="126"/>
      <c r="C353" s="127"/>
      <c r="D353" s="125"/>
      <c r="E353" s="125"/>
      <c r="F353" s="190"/>
      <c r="G353" s="190"/>
    </row>
    <row r="354" spans="1:7" ht="26.25" customHeight="1">
      <c r="A354" s="304" t="s">
        <v>604</v>
      </c>
      <c r="B354" s="305"/>
      <c r="C354" s="305"/>
      <c r="D354" s="305"/>
      <c r="E354" s="305"/>
      <c r="F354" s="190"/>
      <c r="G354" s="190"/>
    </row>
    <row r="355" spans="1:7" ht="26.25" customHeight="1">
      <c r="A355" s="40" t="s">
        <v>211</v>
      </c>
      <c r="B355" s="40" t="s">
        <v>212</v>
      </c>
      <c r="C355" s="40" t="s">
        <v>213</v>
      </c>
      <c r="D355" s="40" t="s">
        <v>214</v>
      </c>
      <c r="E355" s="39" t="s">
        <v>215</v>
      </c>
      <c r="F355" s="190"/>
      <c r="G355" s="190"/>
    </row>
    <row r="356" spans="1:7" ht="17.25" customHeight="1">
      <c r="A356" s="301" t="s">
        <v>222</v>
      </c>
      <c r="B356" s="302"/>
      <c r="C356" s="303"/>
      <c r="D356" s="40"/>
      <c r="E356" s="39"/>
      <c r="F356" s="190"/>
      <c r="G356" s="190"/>
    </row>
    <row r="357" spans="1:7" ht="17.25" customHeight="1">
      <c r="A357" s="231">
        <v>581</v>
      </c>
      <c r="B357" s="105">
        <v>1</v>
      </c>
      <c r="C357" s="105" t="s">
        <v>224</v>
      </c>
      <c r="D357" s="105" t="s">
        <v>476</v>
      </c>
      <c r="E357" s="105">
        <v>85</v>
      </c>
      <c r="F357" s="190"/>
      <c r="G357" s="190"/>
    </row>
    <row r="358" spans="1:7" ht="17.25" customHeight="1">
      <c r="A358" s="60">
        <v>583</v>
      </c>
      <c r="B358" s="178">
        <v>2</v>
      </c>
      <c r="C358" s="178" t="s">
        <v>227</v>
      </c>
      <c r="D358" s="105" t="s">
        <v>477</v>
      </c>
      <c r="E358" s="178">
        <v>223</v>
      </c>
      <c r="F358" s="190"/>
      <c r="G358" s="190"/>
    </row>
    <row r="359" spans="1:7" ht="17.25" customHeight="1">
      <c r="A359" s="40"/>
      <c r="B359" s="196">
        <f>SUM(B357:B358)</f>
        <v>3</v>
      </c>
      <c r="C359" s="196"/>
      <c r="D359" s="196"/>
      <c r="E359" s="196">
        <f>SUM(E357:E358)</f>
        <v>308</v>
      </c>
      <c r="F359" s="190"/>
      <c r="G359" s="190"/>
    </row>
    <row r="360" spans="1:7" ht="17.25" customHeight="1">
      <c r="A360" s="301" t="s">
        <v>216</v>
      </c>
      <c r="B360" s="302"/>
      <c r="C360" s="303"/>
      <c r="D360" s="40"/>
      <c r="E360" s="39"/>
      <c r="F360" s="190"/>
      <c r="G360" s="190"/>
    </row>
    <row r="361" spans="1:7" ht="17.25" customHeight="1">
      <c r="A361" s="60">
        <v>590</v>
      </c>
      <c r="B361" s="232">
        <v>3</v>
      </c>
      <c r="C361" s="233" t="s">
        <v>481</v>
      </c>
      <c r="D361" s="178" t="s">
        <v>478</v>
      </c>
      <c r="E361" s="178">
        <v>183</v>
      </c>
      <c r="F361" s="190"/>
      <c r="G361" s="190"/>
    </row>
    <row r="362" spans="1:7" ht="17.25" customHeight="1">
      <c r="A362" s="60">
        <v>584</v>
      </c>
      <c r="B362" s="178">
        <v>2</v>
      </c>
      <c r="C362" s="132" t="s">
        <v>242</v>
      </c>
      <c r="D362" s="105" t="s">
        <v>479</v>
      </c>
      <c r="E362" s="178">
        <v>555</v>
      </c>
      <c r="F362" s="190"/>
      <c r="G362" s="190"/>
    </row>
    <row r="363" spans="1:7" ht="17.25" customHeight="1">
      <c r="A363" s="60">
        <v>585</v>
      </c>
      <c r="B363" s="178">
        <v>10</v>
      </c>
      <c r="C363" s="132" t="s">
        <v>482</v>
      </c>
      <c r="D363" s="105" t="s">
        <v>487</v>
      </c>
      <c r="E363" s="178">
        <v>1500</v>
      </c>
      <c r="F363" s="190"/>
      <c r="G363" s="190"/>
    </row>
    <row r="364" spans="1:7" ht="17.25" customHeight="1">
      <c r="A364" s="60">
        <v>586</v>
      </c>
      <c r="B364" s="178">
        <v>20</v>
      </c>
      <c r="C364" s="132" t="s">
        <v>483</v>
      </c>
      <c r="D364" s="105" t="s">
        <v>488</v>
      </c>
      <c r="E364" s="178">
        <v>2100</v>
      </c>
      <c r="F364" s="190"/>
      <c r="G364" s="190"/>
    </row>
    <row r="365" spans="1:7" ht="17.25" customHeight="1">
      <c r="A365" s="60">
        <v>588</v>
      </c>
      <c r="B365" s="178">
        <v>12</v>
      </c>
      <c r="C365" s="132" t="s">
        <v>484</v>
      </c>
      <c r="D365" s="105" t="s">
        <v>489</v>
      </c>
      <c r="E365" s="178">
        <v>1260</v>
      </c>
      <c r="F365" s="190"/>
      <c r="G365" s="190"/>
    </row>
    <row r="366" spans="1:7" ht="17.25" customHeight="1">
      <c r="A366" s="60">
        <v>589</v>
      </c>
      <c r="B366" s="178">
        <v>4</v>
      </c>
      <c r="C366" s="132" t="s">
        <v>239</v>
      </c>
      <c r="D366" s="105" t="s">
        <v>480</v>
      </c>
      <c r="E366" s="178">
        <v>835</v>
      </c>
      <c r="F366" s="190"/>
      <c r="G366" s="190"/>
    </row>
    <row r="367" spans="1:7" ht="17.25" customHeight="1">
      <c r="A367" s="60">
        <v>579</v>
      </c>
      <c r="B367" s="178">
        <v>20</v>
      </c>
      <c r="C367" s="178" t="s">
        <v>224</v>
      </c>
      <c r="D367" s="178" t="s">
        <v>485</v>
      </c>
      <c r="E367" s="178">
        <v>1200</v>
      </c>
      <c r="F367" s="190"/>
      <c r="G367" s="190"/>
    </row>
    <row r="368" spans="1:7" ht="17.25" customHeight="1">
      <c r="A368" s="60">
        <v>580</v>
      </c>
      <c r="B368" s="178">
        <v>2</v>
      </c>
      <c r="C368" s="178" t="s">
        <v>224</v>
      </c>
      <c r="D368" s="178" t="s">
        <v>294</v>
      </c>
      <c r="E368" s="178">
        <v>120</v>
      </c>
      <c r="F368" s="190"/>
      <c r="G368" s="190"/>
    </row>
    <row r="369" spans="1:7" ht="17.25" customHeight="1">
      <c r="A369" s="40">
        <v>582</v>
      </c>
      <c r="B369" s="178">
        <v>4</v>
      </c>
      <c r="C369" s="233" t="s">
        <v>481</v>
      </c>
      <c r="D369" s="178" t="s">
        <v>486</v>
      </c>
      <c r="E369" s="178">
        <v>180</v>
      </c>
      <c r="F369" s="190"/>
      <c r="G369" s="190"/>
    </row>
    <row r="370" spans="1:7" ht="17.25" customHeight="1">
      <c r="A370" s="60">
        <v>591</v>
      </c>
      <c r="B370" s="178">
        <v>2</v>
      </c>
      <c r="C370" s="178" t="s">
        <v>227</v>
      </c>
      <c r="D370" s="178" t="s">
        <v>294</v>
      </c>
      <c r="E370" s="178">
        <v>158</v>
      </c>
      <c r="F370" s="190"/>
      <c r="G370" s="190"/>
    </row>
    <row r="371" spans="1:7" ht="17.25" customHeight="1">
      <c r="A371" s="40"/>
      <c r="B371" s="196">
        <f>SUM(B361:B370)</f>
        <v>79</v>
      </c>
      <c r="C371" s="196"/>
      <c r="D371" s="196"/>
      <c r="E371" s="196">
        <f>SUM(E361:E370)</f>
        <v>8091</v>
      </c>
      <c r="F371" s="190"/>
      <c r="G371" s="190"/>
    </row>
    <row r="372" spans="1:7" ht="17.25" customHeight="1">
      <c r="A372" s="301" t="s">
        <v>229</v>
      </c>
      <c r="B372" s="302"/>
      <c r="C372" s="303"/>
      <c r="D372" s="196"/>
      <c r="E372" s="196"/>
      <c r="F372" s="190"/>
      <c r="G372" s="190"/>
    </row>
    <row r="373" spans="1:7" ht="17.25" customHeight="1">
      <c r="A373" s="60">
        <v>587</v>
      </c>
      <c r="B373" s="178">
        <v>3</v>
      </c>
      <c r="C373" s="178" t="s">
        <v>224</v>
      </c>
      <c r="D373" s="178" t="s">
        <v>238</v>
      </c>
      <c r="E373" s="178">
        <v>120</v>
      </c>
      <c r="F373" s="190"/>
      <c r="G373" s="190"/>
    </row>
    <row r="374" spans="1:7" ht="17.25" customHeight="1">
      <c r="A374" s="40"/>
      <c r="B374" s="196">
        <f>B373</f>
        <v>3</v>
      </c>
      <c r="C374" s="196"/>
      <c r="D374" s="196"/>
      <c r="E374" s="196">
        <f>E373</f>
        <v>120</v>
      </c>
      <c r="F374" s="190"/>
      <c r="G374" s="190"/>
    </row>
    <row r="375" spans="1:7" ht="17.25" customHeight="1">
      <c r="A375" s="196" t="s">
        <v>14</v>
      </c>
      <c r="B375" s="125">
        <f>B359+B371+B374</f>
        <v>85</v>
      </c>
      <c r="C375" s="125"/>
      <c r="D375" s="125"/>
      <c r="E375" s="125">
        <f>E359+E371+E374</f>
        <v>8519</v>
      </c>
      <c r="F375" s="190"/>
      <c r="G375" s="190"/>
    </row>
    <row r="376" spans="1:7" ht="17.25" customHeight="1">
      <c r="A376" s="199"/>
      <c r="B376" s="126"/>
      <c r="C376" s="127"/>
      <c r="D376" s="125"/>
      <c r="E376" s="125"/>
      <c r="F376" s="190"/>
      <c r="G376" s="190"/>
    </row>
    <row r="377" spans="1:7" ht="29.25" customHeight="1">
      <c r="A377" s="304" t="s">
        <v>605</v>
      </c>
      <c r="B377" s="305"/>
      <c r="C377" s="305"/>
      <c r="D377" s="305"/>
      <c r="E377" s="305"/>
      <c r="F377" s="190"/>
      <c r="G377" s="190"/>
    </row>
    <row r="378" spans="1:7" ht="23.25" customHeight="1">
      <c r="A378" s="40" t="s">
        <v>211</v>
      </c>
      <c r="B378" s="40" t="s">
        <v>212</v>
      </c>
      <c r="C378" s="40" t="s">
        <v>213</v>
      </c>
      <c r="D378" s="40" t="s">
        <v>214</v>
      </c>
      <c r="E378" s="39" t="s">
        <v>215</v>
      </c>
      <c r="F378" s="190"/>
      <c r="G378" s="190"/>
    </row>
    <row r="379" spans="1:7" ht="17.25" customHeight="1">
      <c r="A379" s="301" t="s">
        <v>222</v>
      </c>
      <c r="B379" s="302"/>
      <c r="C379" s="303"/>
      <c r="D379" s="40"/>
      <c r="E379" s="39"/>
      <c r="F379" s="190"/>
      <c r="G379" s="190"/>
    </row>
    <row r="380" spans="1:7" ht="17.25" customHeight="1">
      <c r="A380" s="40">
        <v>909</v>
      </c>
      <c r="B380" s="60">
        <v>8</v>
      </c>
      <c r="C380" s="60" t="s">
        <v>224</v>
      </c>
      <c r="D380" s="40" t="s">
        <v>491</v>
      </c>
      <c r="E380" s="40">
        <v>638</v>
      </c>
      <c r="F380" s="190"/>
      <c r="G380" s="190"/>
    </row>
    <row r="381" spans="1:7" ht="17.25" customHeight="1">
      <c r="A381" s="40">
        <v>910</v>
      </c>
      <c r="B381" s="40">
        <v>5</v>
      </c>
      <c r="C381" s="40" t="s">
        <v>227</v>
      </c>
      <c r="D381" s="40" t="s">
        <v>492</v>
      </c>
      <c r="E381" s="40">
        <v>481</v>
      </c>
      <c r="F381" s="190"/>
      <c r="G381" s="190"/>
    </row>
    <row r="382" spans="1:7" ht="17.25" customHeight="1">
      <c r="A382" s="40"/>
      <c r="B382" s="196">
        <f>SUM(B380:B381)</f>
        <v>13</v>
      </c>
      <c r="C382" s="196"/>
      <c r="D382" s="196"/>
      <c r="E382" s="196">
        <f>SUM(E380:E381)</f>
        <v>1119</v>
      </c>
      <c r="F382" s="190"/>
      <c r="G382" s="190"/>
    </row>
    <row r="383" spans="1:7" ht="17.25" customHeight="1">
      <c r="A383" s="301" t="s">
        <v>216</v>
      </c>
      <c r="B383" s="302"/>
      <c r="C383" s="303"/>
      <c r="D383" s="40"/>
      <c r="E383" s="39"/>
      <c r="F383" s="190"/>
      <c r="G383" s="190"/>
    </row>
    <row r="384" spans="1:7" ht="17.25" customHeight="1">
      <c r="A384" s="40">
        <v>915</v>
      </c>
      <c r="B384" s="60">
        <v>4</v>
      </c>
      <c r="C384" s="132" t="s">
        <v>355</v>
      </c>
      <c r="D384" s="40" t="s">
        <v>493</v>
      </c>
      <c r="E384" s="40">
        <v>419</v>
      </c>
      <c r="F384" s="190"/>
      <c r="G384" s="190"/>
    </row>
    <row r="385" spans="1:7" ht="17.25" customHeight="1">
      <c r="A385" s="40">
        <v>916</v>
      </c>
      <c r="B385" s="60">
        <v>11</v>
      </c>
      <c r="C385" s="132" t="s">
        <v>231</v>
      </c>
      <c r="D385" s="40" t="s">
        <v>494</v>
      </c>
      <c r="E385" s="60">
        <v>1320</v>
      </c>
      <c r="F385" s="190"/>
      <c r="G385" s="190"/>
    </row>
    <row r="386" spans="1:7" ht="17.25" customHeight="1">
      <c r="A386" s="40">
        <v>917</v>
      </c>
      <c r="B386" s="40">
        <v>13</v>
      </c>
      <c r="C386" s="197" t="s">
        <v>239</v>
      </c>
      <c r="D386" s="40" t="s">
        <v>495</v>
      </c>
      <c r="E386" s="60">
        <v>2735</v>
      </c>
      <c r="F386" s="190"/>
      <c r="G386" s="190"/>
    </row>
    <row r="387" spans="1:7" ht="17.25" customHeight="1">
      <c r="A387" s="40">
        <v>918</v>
      </c>
      <c r="B387" s="60">
        <v>6</v>
      </c>
      <c r="C387" s="132" t="s">
        <v>242</v>
      </c>
      <c r="D387" s="70" t="s">
        <v>496</v>
      </c>
      <c r="E387" s="60">
        <v>1455</v>
      </c>
      <c r="F387" s="190"/>
      <c r="G387" s="190"/>
    </row>
    <row r="388" spans="1:7" ht="17.25" customHeight="1">
      <c r="A388" s="40">
        <v>911</v>
      </c>
      <c r="B388" s="60">
        <v>2</v>
      </c>
      <c r="C388" s="60" t="s">
        <v>223</v>
      </c>
      <c r="D388" s="105" t="s">
        <v>294</v>
      </c>
      <c r="E388" s="40">
        <v>106</v>
      </c>
      <c r="F388" s="190"/>
      <c r="G388" s="190"/>
    </row>
    <row r="389" spans="1:7" ht="17.25" customHeight="1">
      <c r="A389" s="40">
        <v>912</v>
      </c>
      <c r="B389" s="40">
        <v>16</v>
      </c>
      <c r="C389" s="40" t="s">
        <v>224</v>
      </c>
      <c r="D389" s="105" t="s">
        <v>506</v>
      </c>
      <c r="E389" s="40">
        <v>862</v>
      </c>
      <c r="F389" s="190"/>
      <c r="G389" s="190"/>
    </row>
    <row r="390" spans="1:7" ht="17.25" customHeight="1">
      <c r="A390" s="40">
        <v>913</v>
      </c>
      <c r="B390" s="40">
        <v>4</v>
      </c>
      <c r="C390" s="40" t="s">
        <v>227</v>
      </c>
      <c r="D390" s="105" t="s">
        <v>486</v>
      </c>
      <c r="E390" s="60">
        <v>332</v>
      </c>
      <c r="F390" s="190"/>
      <c r="G390" s="190"/>
    </row>
    <row r="391" spans="1:7" ht="17.25" customHeight="1">
      <c r="A391" s="40">
        <v>914</v>
      </c>
      <c r="B391" s="60">
        <v>6</v>
      </c>
      <c r="C391" s="132" t="s">
        <v>231</v>
      </c>
      <c r="D391" s="105" t="s">
        <v>497</v>
      </c>
      <c r="E391" s="60">
        <v>637</v>
      </c>
      <c r="F391" s="190"/>
      <c r="G391" s="190"/>
    </row>
    <row r="392" spans="1:7" ht="17.25" customHeight="1">
      <c r="A392" s="40"/>
      <c r="B392" s="196">
        <f>SUM(B384:B391)</f>
        <v>62</v>
      </c>
      <c r="C392" s="196"/>
      <c r="D392" s="196"/>
      <c r="E392" s="196">
        <f>SUM(E384:E391)</f>
        <v>7866</v>
      </c>
      <c r="F392" s="190"/>
      <c r="G392" s="190"/>
    </row>
    <row r="393" spans="1:7" ht="17.25" customHeight="1">
      <c r="A393" s="196" t="s">
        <v>14</v>
      </c>
      <c r="B393" s="125">
        <f>B382+B392</f>
        <v>75</v>
      </c>
      <c r="C393" s="125"/>
      <c r="D393" s="125"/>
      <c r="E393" s="125">
        <f>E382+E392</f>
        <v>8985</v>
      </c>
      <c r="F393" s="190"/>
      <c r="G393" s="190"/>
    </row>
    <row r="394" spans="1:7" ht="17.25" customHeight="1">
      <c r="A394" s="219"/>
      <c r="B394" s="126"/>
      <c r="C394" s="127"/>
      <c r="D394" s="125"/>
      <c r="E394" s="125"/>
      <c r="F394" s="190"/>
      <c r="G394" s="190"/>
    </row>
    <row r="395" spans="1:7" ht="30" customHeight="1">
      <c r="A395" s="304" t="s">
        <v>606</v>
      </c>
      <c r="B395" s="305"/>
      <c r="C395" s="305"/>
      <c r="D395" s="305"/>
      <c r="E395" s="305"/>
      <c r="F395" s="190"/>
      <c r="G395" s="190"/>
    </row>
    <row r="396" spans="1:7" ht="24" customHeight="1">
      <c r="A396" s="40" t="s">
        <v>211</v>
      </c>
      <c r="B396" s="40" t="s">
        <v>212</v>
      </c>
      <c r="C396" s="40" t="s">
        <v>213</v>
      </c>
      <c r="D396" s="40" t="s">
        <v>214</v>
      </c>
      <c r="E396" s="39" t="s">
        <v>215</v>
      </c>
      <c r="F396" s="190"/>
      <c r="G396" s="190"/>
    </row>
    <row r="397" spans="1:7" ht="17.25" customHeight="1">
      <c r="A397" s="301" t="s">
        <v>222</v>
      </c>
      <c r="B397" s="302"/>
      <c r="C397" s="303"/>
      <c r="D397" s="40"/>
      <c r="E397" s="39"/>
      <c r="F397" s="190"/>
      <c r="G397" s="190"/>
    </row>
    <row r="398" spans="1:7" ht="17.25" customHeight="1">
      <c r="A398" s="45">
        <v>437</v>
      </c>
      <c r="B398" s="104">
        <v>14</v>
      </c>
      <c r="C398" s="104" t="s">
        <v>227</v>
      </c>
      <c r="D398" s="104" t="s">
        <v>519</v>
      </c>
      <c r="E398" s="104">
        <v>1605</v>
      </c>
      <c r="F398" s="190"/>
      <c r="G398" s="190"/>
    </row>
    <row r="399" spans="1:7" ht="17.25" customHeight="1">
      <c r="A399" s="45">
        <v>437</v>
      </c>
      <c r="B399" s="104">
        <v>1</v>
      </c>
      <c r="C399" s="104" t="s">
        <v>224</v>
      </c>
      <c r="D399" s="104" t="s">
        <v>515</v>
      </c>
      <c r="E399" s="104">
        <v>87</v>
      </c>
      <c r="F399" s="190"/>
      <c r="G399" s="190"/>
    </row>
    <row r="400" spans="1:7" ht="17.25" customHeight="1">
      <c r="A400" s="40"/>
      <c r="B400" s="218">
        <f>SUM(B398:B399)</f>
        <v>15</v>
      </c>
      <c r="C400" s="218"/>
      <c r="D400" s="218"/>
      <c r="E400" s="218">
        <f>SUM(E398:E399)</f>
        <v>1692</v>
      </c>
      <c r="F400" s="190"/>
      <c r="G400" s="190"/>
    </row>
    <row r="401" spans="1:7" ht="17.25" customHeight="1">
      <c r="A401" s="301" t="s">
        <v>216</v>
      </c>
      <c r="B401" s="302"/>
      <c r="C401" s="303"/>
      <c r="D401" s="40"/>
      <c r="E401" s="39"/>
      <c r="F401" s="190"/>
      <c r="G401" s="190"/>
    </row>
    <row r="402" spans="1:7" ht="17.25" customHeight="1">
      <c r="A402" s="45">
        <v>439</v>
      </c>
      <c r="B402" s="104">
        <v>1</v>
      </c>
      <c r="C402" s="108" t="s">
        <v>231</v>
      </c>
      <c r="D402" s="104" t="s">
        <v>516</v>
      </c>
      <c r="E402" s="104">
        <v>120</v>
      </c>
      <c r="F402" s="190"/>
      <c r="G402" s="190"/>
    </row>
    <row r="403" spans="1:7" ht="17.25" customHeight="1">
      <c r="A403" s="45">
        <v>439</v>
      </c>
      <c r="B403" s="104">
        <v>1</v>
      </c>
      <c r="C403" s="108" t="s">
        <v>239</v>
      </c>
      <c r="D403" s="104" t="s">
        <v>517</v>
      </c>
      <c r="E403" s="104">
        <v>231</v>
      </c>
      <c r="F403" s="190"/>
      <c r="G403" s="190"/>
    </row>
    <row r="404" spans="1:7" ht="17.25" customHeight="1">
      <c r="A404" s="45">
        <v>438</v>
      </c>
      <c r="B404" s="104">
        <v>5</v>
      </c>
      <c r="C404" s="104" t="s">
        <v>227</v>
      </c>
      <c r="D404" s="104" t="s">
        <v>293</v>
      </c>
      <c r="E404" s="237">
        <v>450</v>
      </c>
      <c r="F404" s="190"/>
      <c r="G404" s="190"/>
    </row>
    <row r="405" spans="1:7" ht="17.25" customHeight="1">
      <c r="A405" s="45">
        <v>438</v>
      </c>
      <c r="B405" s="104">
        <v>1</v>
      </c>
      <c r="C405" s="108" t="s">
        <v>231</v>
      </c>
      <c r="D405" s="104" t="s">
        <v>518</v>
      </c>
      <c r="E405" s="237">
        <v>104</v>
      </c>
      <c r="F405" s="190"/>
      <c r="G405" s="190"/>
    </row>
    <row r="406" spans="1:7" ht="17.25" customHeight="1">
      <c r="A406" s="40"/>
      <c r="B406" s="218">
        <f>SUM(B402:B405)</f>
        <v>8</v>
      </c>
      <c r="C406" s="218"/>
      <c r="D406" s="218"/>
      <c r="E406" s="218">
        <f>SUM(E402:E405)</f>
        <v>905</v>
      </c>
      <c r="F406" s="190"/>
      <c r="G406" s="190"/>
    </row>
    <row r="407" spans="1:7" ht="17.25" customHeight="1">
      <c r="A407" s="218" t="s">
        <v>14</v>
      </c>
      <c r="B407" s="125">
        <f>B400+B406</f>
        <v>23</v>
      </c>
      <c r="C407" s="125"/>
      <c r="D407" s="125"/>
      <c r="E407" s="125">
        <f>E400+E406</f>
        <v>2597</v>
      </c>
      <c r="F407" s="190"/>
      <c r="G407" s="190"/>
    </row>
    <row r="408" spans="1:7" ht="17.25" customHeight="1">
      <c r="A408" s="222"/>
      <c r="B408" s="126"/>
      <c r="C408" s="127"/>
      <c r="D408" s="125"/>
      <c r="E408" s="125"/>
      <c r="F408" s="190"/>
      <c r="G408" s="190"/>
    </row>
    <row r="409" spans="1:7" ht="34.5" customHeight="1">
      <c r="A409" s="304" t="s">
        <v>607</v>
      </c>
      <c r="B409" s="305"/>
      <c r="C409" s="305"/>
      <c r="D409" s="305"/>
      <c r="E409" s="305"/>
      <c r="F409" s="190"/>
      <c r="G409" s="190"/>
    </row>
    <row r="410" spans="1:7" ht="24.75" customHeight="1">
      <c r="A410" s="23" t="s">
        <v>211</v>
      </c>
      <c r="B410" s="23" t="s">
        <v>212</v>
      </c>
      <c r="C410" s="23" t="s">
        <v>213</v>
      </c>
      <c r="D410" s="23" t="s">
        <v>214</v>
      </c>
      <c r="E410" s="87" t="s">
        <v>215</v>
      </c>
      <c r="F410" s="190"/>
      <c r="G410" s="190"/>
    </row>
    <row r="411" spans="1:7" ht="17.25" customHeight="1">
      <c r="A411" s="301" t="s">
        <v>216</v>
      </c>
      <c r="B411" s="302"/>
      <c r="C411" s="303"/>
      <c r="D411" s="40"/>
      <c r="E411" s="39"/>
      <c r="F411" s="190"/>
      <c r="G411" s="190"/>
    </row>
    <row r="412" spans="1:7" ht="17.25" customHeight="1">
      <c r="A412" s="60">
        <v>23115</v>
      </c>
      <c r="B412" s="60">
        <v>30</v>
      </c>
      <c r="C412" s="45" t="s">
        <v>224</v>
      </c>
      <c r="D412" s="238" t="s">
        <v>520</v>
      </c>
      <c r="E412" s="45">
        <v>2273</v>
      </c>
      <c r="F412" s="234">
        <f>SUM(B412:B416)</f>
        <v>150</v>
      </c>
      <c r="G412" s="190"/>
    </row>
    <row r="413" spans="1:7" ht="17.25" customHeight="1">
      <c r="A413" s="60">
        <v>23116</v>
      </c>
      <c r="B413" s="60">
        <v>30</v>
      </c>
      <c r="C413" s="45" t="s">
        <v>224</v>
      </c>
      <c r="D413" s="238" t="s">
        <v>521</v>
      </c>
      <c r="E413" s="45">
        <v>2254</v>
      </c>
      <c r="F413" s="234">
        <f>SUM(B417:B423)</f>
        <v>210</v>
      </c>
      <c r="G413" s="190"/>
    </row>
    <row r="414" spans="1:7" ht="17.25" customHeight="1">
      <c r="A414" s="60">
        <v>23117</v>
      </c>
      <c r="B414" s="60">
        <v>30</v>
      </c>
      <c r="C414" s="45" t="s">
        <v>224</v>
      </c>
      <c r="D414" s="238" t="s">
        <v>522</v>
      </c>
      <c r="E414" s="45">
        <v>2265</v>
      </c>
      <c r="F414" s="190"/>
      <c r="G414" s="190"/>
    </row>
    <row r="415" spans="1:7" ht="17.25" customHeight="1">
      <c r="A415" s="60">
        <v>23118</v>
      </c>
      <c r="B415" s="60">
        <v>30</v>
      </c>
      <c r="C415" s="45" t="s">
        <v>224</v>
      </c>
      <c r="D415" s="40" t="s">
        <v>523</v>
      </c>
      <c r="E415" s="40">
        <v>2257</v>
      </c>
      <c r="F415" s="190"/>
      <c r="G415" s="190"/>
    </row>
    <row r="416" spans="1:7" ht="17.25" customHeight="1">
      <c r="A416" s="60">
        <v>23119</v>
      </c>
      <c r="B416" s="60">
        <v>30</v>
      </c>
      <c r="C416" s="45" t="s">
        <v>224</v>
      </c>
      <c r="D416" s="40" t="s">
        <v>524</v>
      </c>
      <c r="E416" s="40">
        <v>2267</v>
      </c>
      <c r="F416" s="190"/>
      <c r="G416" s="190"/>
    </row>
    <row r="417" spans="1:7" ht="17.25" customHeight="1">
      <c r="A417" s="40">
        <v>23125</v>
      </c>
      <c r="B417" s="40">
        <v>30</v>
      </c>
      <c r="C417" s="40" t="s">
        <v>227</v>
      </c>
      <c r="D417" s="40" t="s">
        <v>525</v>
      </c>
      <c r="E417" s="40">
        <v>3018</v>
      </c>
      <c r="F417" s="190"/>
      <c r="G417" s="190"/>
    </row>
    <row r="418" spans="1:7" ht="17.25" customHeight="1">
      <c r="A418" s="40">
        <v>23126</v>
      </c>
      <c r="B418" s="40">
        <v>30</v>
      </c>
      <c r="C418" s="40" t="s">
        <v>227</v>
      </c>
      <c r="D418" s="40" t="s">
        <v>526</v>
      </c>
      <c r="E418" s="40">
        <v>2997</v>
      </c>
      <c r="F418" s="190"/>
      <c r="G418" s="190"/>
    </row>
    <row r="419" spans="1:7" ht="17.25" customHeight="1">
      <c r="A419" s="40">
        <v>23127</v>
      </c>
      <c r="B419" s="40">
        <v>30</v>
      </c>
      <c r="C419" s="40" t="s">
        <v>227</v>
      </c>
      <c r="D419" s="40" t="s">
        <v>527</v>
      </c>
      <c r="E419" s="40">
        <v>2947</v>
      </c>
      <c r="F419" s="190"/>
      <c r="G419" s="190"/>
    </row>
    <row r="420" spans="1:7" ht="17.25" customHeight="1">
      <c r="A420" s="40">
        <v>23128</v>
      </c>
      <c r="B420" s="40">
        <v>30</v>
      </c>
      <c r="C420" s="40" t="s">
        <v>227</v>
      </c>
      <c r="D420" s="40" t="s">
        <v>528</v>
      </c>
      <c r="E420" s="40">
        <v>3035</v>
      </c>
      <c r="F420" s="190"/>
      <c r="G420" s="190"/>
    </row>
    <row r="421" spans="1:7" ht="17.25" customHeight="1">
      <c r="A421" s="40">
        <v>23129</v>
      </c>
      <c r="B421" s="40">
        <v>30</v>
      </c>
      <c r="C421" s="40" t="s">
        <v>227</v>
      </c>
      <c r="D421" s="40" t="s">
        <v>529</v>
      </c>
      <c r="E421" s="40">
        <v>2909</v>
      </c>
      <c r="F421" s="190"/>
      <c r="G421" s="190"/>
    </row>
    <row r="422" spans="1:7" ht="17.25" customHeight="1">
      <c r="A422" s="40">
        <v>23130</v>
      </c>
      <c r="B422" s="40">
        <v>30</v>
      </c>
      <c r="C422" s="40" t="s">
        <v>227</v>
      </c>
      <c r="D422" s="40" t="s">
        <v>530</v>
      </c>
      <c r="E422" s="40">
        <v>2980</v>
      </c>
      <c r="F422" s="190"/>
      <c r="G422" s="190"/>
    </row>
    <row r="423" spans="1:7" ht="17.25" customHeight="1">
      <c r="A423" s="40">
        <v>23131</v>
      </c>
      <c r="B423" s="40">
        <v>30</v>
      </c>
      <c r="C423" s="40" t="s">
        <v>227</v>
      </c>
      <c r="D423" s="40" t="s">
        <v>531</v>
      </c>
      <c r="E423" s="40">
        <v>3034</v>
      </c>
      <c r="F423" s="190"/>
      <c r="G423" s="190"/>
    </row>
    <row r="424" spans="1:7" ht="17.25" customHeight="1">
      <c r="A424" s="40"/>
      <c r="B424" s="221">
        <f>SUM(B412:B423)</f>
        <v>360</v>
      </c>
      <c r="C424" s="221"/>
      <c r="D424" s="221"/>
      <c r="E424" s="221">
        <f>SUM(E412:E423)</f>
        <v>32236</v>
      </c>
      <c r="F424" s="190"/>
      <c r="G424" s="190"/>
    </row>
    <row r="425" spans="1:7" ht="17.25" customHeight="1">
      <c r="A425" s="221" t="s">
        <v>14</v>
      </c>
      <c r="B425" s="125">
        <f>B424</f>
        <v>360</v>
      </c>
      <c r="C425" s="125"/>
      <c r="D425" s="125"/>
      <c r="E425" s="125">
        <f>E424</f>
        <v>32236</v>
      </c>
      <c r="F425" s="190"/>
      <c r="G425" s="190"/>
    </row>
    <row r="426" spans="1:7" ht="17.25" customHeight="1">
      <c r="A426" s="222"/>
      <c r="B426" s="126"/>
      <c r="C426" s="127"/>
      <c r="D426" s="125"/>
      <c r="E426" s="125"/>
      <c r="F426" s="190"/>
      <c r="G426" s="190"/>
    </row>
    <row r="427" spans="1:7" ht="30.75" customHeight="1">
      <c r="A427" s="304" t="s">
        <v>608</v>
      </c>
      <c r="B427" s="305"/>
      <c r="C427" s="305"/>
      <c r="D427" s="305"/>
      <c r="E427" s="305"/>
      <c r="F427" s="190"/>
      <c r="G427" s="190"/>
    </row>
    <row r="428" spans="1:7" ht="27.75" customHeight="1">
      <c r="A428" s="23" t="s">
        <v>211</v>
      </c>
      <c r="B428" s="23" t="s">
        <v>212</v>
      </c>
      <c r="C428" s="23" t="s">
        <v>213</v>
      </c>
      <c r="D428" s="23" t="s">
        <v>214</v>
      </c>
      <c r="E428" s="87" t="s">
        <v>215</v>
      </c>
      <c r="F428" s="190"/>
      <c r="G428" s="190"/>
    </row>
    <row r="429" spans="1:7" ht="17.25" customHeight="1">
      <c r="A429" s="301" t="s">
        <v>216</v>
      </c>
      <c r="B429" s="302"/>
      <c r="C429" s="303"/>
      <c r="D429" s="40"/>
      <c r="E429" s="39"/>
      <c r="F429" s="190"/>
      <c r="G429" s="190"/>
    </row>
    <row r="430" spans="1:7" ht="17.25" customHeight="1">
      <c r="A430" s="60">
        <v>23120</v>
      </c>
      <c r="B430" s="60">
        <v>30</v>
      </c>
      <c r="C430" s="45" t="s">
        <v>224</v>
      </c>
      <c r="D430" s="40" t="s">
        <v>532</v>
      </c>
      <c r="E430" s="40">
        <v>2263</v>
      </c>
      <c r="F430" s="234">
        <f>SUM(B430:B434)</f>
        <v>140</v>
      </c>
      <c r="G430" s="190"/>
    </row>
    <row r="431" spans="1:7" ht="17.25" customHeight="1">
      <c r="A431" s="60">
        <v>23121</v>
      </c>
      <c r="B431" s="60">
        <v>30</v>
      </c>
      <c r="C431" s="45" t="s">
        <v>224</v>
      </c>
      <c r="D431" s="40" t="s">
        <v>533</v>
      </c>
      <c r="E431" s="40">
        <v>2269</v>
      </c>
      <c r="F431" s="234">
        <f>SUM(B435:B441)</f>
        <v>208</v>
      </c>
      <c r="G431" s="190"/>
    </row>
    <row r="432" spans="1:7" ht="17.25" customHeight="1">
      <c r="A432" s="60">
        <v>23122</v>
      </c>
      <c r="B432" s="60">
        <v>30</v>
      </c>
      <c r="C432" s="45" t="s">
        <v>224</v>
      </c>
      <c r="D432" s="40" t="s">
        <v>534</v>
      </c>
      <c r="E432" s="60">
        <v>2267</v>
      </c>
      <c r="F432" s="190"/>
      <c r="G432" s="190"/>
    </row>
    <row r="433" spans="1:7" ht="17.25" customHeight="1">
      <c r="A433" s="60">
        <v>23123</v>
      </c>
      <c r="B433" s="60">
        <v>30</v>
      </c>
      <c r="C433" s="45" t="s">
        <v>224</v>
      </c>
      <c r="D433" s="40" t="s">
        <v>535</v>
      </c>
      <c r="E433" s="60">
        <v>2255</v>
      </c>
      <c r="F433" s="190"/>
      <c r="G433" s="190"/>
    </row>
    <row r="434" spans="1:7" ht="17.25" customHeight="1">
      <c r="A434" s="60">
        <v>23124</v>
      </c>
      <c r="B434" s="60">
        <v>20</v>
      </c>
      <c r="C434" s="45" t="s">
        <v>224</v>
      </c>
      <c r="D434" s="60" t="s">
        <v>536</v>
      </c>
      <c r="E434" s="60">
        <v>1501</v>
      </c>
      <c r="F434" s="190"/>
      <c r="G434" s="190"/>
    </row>
    <row r="435" spans="1:7" ht="17.25" customHeight="1">
      <c r="A435" s="40">
        <v>23132</v>
      </c>
      <c r="B435" s="40">
        <v>30</v>
      </c>
      <c r="C435" s="40" t="s">
        <v>227</v>
      </c>
      <c r="D435" s="40" t="s">
        <v>537</v>
      </c>
      <c r="E435" s="40">
        <v>2901</v>
      </c>
      <c r="F435" s="190"/>
      <c r="G435" s="190"/>
    </row>
    <row r="436" spans="1:7" ht="17.25" customHeight="1">
      <c r="A436" s="40">
        <v>23133</v>
      </c>
      <c r="B436" s="40">
        <v>30</v>
      </c>
      <c r="C436" s="40" t="s">
        <v>227</v>
      </c>
      <c r="D436" s="40" t="s">
        <v>538</v>
      </c>
      <c r="E436" s="40">
        <v>2884</v>
      </c>
      <c r="F436" s="190"/>
      <c r="G436" s="190"/>
    </row>
    <row r="437" spans="1:7" ht="17.25" customHeight="1">
      <c r="A437" s="40">
        <v>23134</v>
      </c>
      <c r="B437" s="40">
        <v>30</v>
      </c>
      <c r="C437" s="40" t="s">
        <v>227</v>
      </c>
      <c r="D437" s="238" t="s">
        <v>539</v>
      </c>
      <c r="E437" s="40">
        <v>2877</v>
      </c>
      <c r="F437" s="190"/>
      <c r="G437" s="190"/>
    </row>
    <row r="438" spans="1:7" ht="17.25" customHeight="1">
      <c r="A438" s="40">
        <v>23135</v>
      </c>
      <c r="B438" s="40">
        <v>30</v>
      </c>
      <c r="C438" s="40" t="s">
        <v>227</v>
      </c>
      <c r="D438" s="40" t="s">
        <v>540</v>
      </c>
      <c r="E438" s="40">
        <v>2881</v>
      </c>
      <c r="F438" s="190"/>
      <c r="G438" s="190"/>
    </row>
    <row r="439" spans="1:7" ht="17.25" customHeight="1">
      <c r="A439" s="40">
        <v>23136</v>
      </c>
      <c r="B439" s="40">
        <v>30</v>
      </c>
      <c r="C439" s="40" t="s">
        <v>227</v>
      </c>
      <c r="D439" s="40" t="s">
        <v>541</v>
      </c>
      <c r="E439" s="40">
        <v>2928</v>
      </c>
      <c r="F439" s="190"/>
      <c r="G439" s="190"/>
    </row>
    <row r="440" spans="1:7" ht="17.25" customHeight="1">
      <c r="A440" s="40">
        <v>23137</v>
      </c>
      <c r="B440" s="40">
        <v>30</v>
      </c>
      <c r="C440" s="40" t="s">
        <v>227</v>
      </c>
      <c r="D440" s="60" t="s">
        <v>542</v>
      </c>
      <c r="E440" s="40">
        <v>2946</v>
      </c>
      <c r="F440" s="190"/>
      <c r="G440" s="190"/>
    </row>
    <row r="441" spans="1:7" ht="17.25" customHeight="1">
      <c r="A441" s="40">
        <v>23138</v>
      </c>
      <c r="B441" s="40">
        <v>28</v>
      </c>
      <c r="C441" s="40" t="s">
        <v>227</v>
      </c>
      <c r="D441" s="40" t="s">
        <v>543</v>
      </c>
      <c r="E441" s="40">
        <v>2751</v>
      </c>
      <c r="F441" s="190"/>
      <c r="G441" s="190"/>
    </row>
    <row r="442" spans="1:7" ht="17.25" customHeight="1">
      <c r="A442" s="40"/>
      <c r="B442" s="221">
        <f>SUM(B430:B441)</f>
        <v>348</v>
      </c>
      <c r="C442" s="221"/>
      <c r="D442" s="221"/>
      <c r="E442" s="221">
        <f>SUM(E430:E441)</f>
        <v>30723</v>
      </c>
      <c r="F442" s="190"/>
      <c r="G442" s="190"/>
    </row>
    <row r="443" spans="1:7" ht="17.25" customHeight="1">
      <c r="A443" s="221" t="s">
        <v>14</v>
      </c>
      <c r="B443" s="125">
        <f>B442</f>
        <v>348</v>
      </c>
      <c r="C443" s="125"/>
      <c r="D443" s="125"/>
      <c r="E443" s="125">
        <f>E442</f>
        <v>30723</v>
      </c>
      <c r="F443" s="190"/>
      <c r="G443" s="190"/>
    </row>
    <row r="444" spans="1:7" ht="17.25" customHeight="1">
      <c r="A444" s="243"/>
      <c r="B444" s="126"/>
      <c r="C444" s="127"/>
      <c r="D444" s="125"/>
      <c r="E444" s="125"/>
      <c r="F444" s="190"/>
      <c r="G444" s="190"/>
    </row>
    <row r="445" spans="1:7" ht="30.75" customHeight="1">
      <c r="A445" s="304" t="s">
        <v>609</v>
      </c>
      <c r="B445" s="305"/>
      <c r="C445" s="305"/>
      <c r="D445" s="305"/>
      <c r="E445" s="305"/>
      <c r="F445" s="190"/>
      <c r="G445" s="190"/>
    </row>
    <row r="446" spans="1:7" ht="26.25" customHeight="1">
      <c r="A446" s="40" t="s">
        <v>211</v>
      </c>
      <c r="B446" s="40" t="s">
        <v>212</v>
      </c>
      <c r="C446" s="40" t="s">
        <v>213</v>
      </c>
      <c r="D446" s="40" t="s">
        <v>214</v>
      </c>
      <c r="E446" s="39" t="s">
        <v>215</v>
      </c>
      <c r="F446" s="190"/>
      <c r="G446" s="190"/>
    </row>
    <row r="447" spans="1:7" ht="17.25" customHeight="1">
      <c r="A447" s="301" t="s">
        <v>222</v>
      </c>
      <c r="B447" s="302"/>
      <c r="C447" s="303"/>
      <c r="D447" s="40"/>
      <c r="E447" s="39"/>
      <c r="F447" s="190"/>
      <c r="G447" s="190"/>
    </row>
    <row r="448" spans="1:7" ht="17.25" customHeight="1">
      <c r="A448" s="70">
        <v>1303</v>
      </c>
      <c r="B448" s="91">
        <v>10</v>
      </c>
      <c r="C448" s="91" t="s">
        <v>217</v>
      </c>
      <c r="D448" s="70" t="s">
        <v>551</v>
      </c>
      <c r="E448" s="70">
        <v>792</v>
      </c>
      <c r="F448" s="190"/>
      <c r="G448" s="190"/>
    </row>
    <row r="449" spans="1:7" ht="17.25" customHeight="1">
      <c r="A449" s="40"/>
      <c r="B449" s="254">
        <f>SUM(B448:B448)</f>
        <v>10</v>
      </c>
      <c r="C449" s="254"/>
      <c r="D449" s="242"/>
      <c r="E449" s="242">
        <f>SUM(E448:E448)</f>
        <v>792</v>
      </c>
      <c r="F449" s="190"/>
      <c r="G449" s="190"/>
    </row>
    <row r="450" spans="1:7" ht="17.25" customHeight="1">
      <c r="A450" s="301" t="s">
        <v>216</v>
      </c>
      <c r="B450" s="302"/>
      <c r="C450" s="303"/>
      <c r="D450" s="40"/>
      <c r="E450" s="39"/>
      <c r="F450" s="190"/>
      <c r="G450" s="190"/>
    </row>
    <row r="451" spans="1:7" ht="17.25" customHeight="1">
      <c r="A451" s="136">
        <v>1304</v>
      </c>
      <c r="B451" s="60">
        <v>14</v>
      </c>
      <c r="C451" s="40" t="s">
        <v>217</v>
      </c>
      <c r="D451" s="105" t="s">
        <v>291</v>
      </c>
      <c r="E451" s="60">
        <v>797</v>
      </c>
      <c r="F451" s="190"/>
      <c r="G451" s="190"/>
    </row>
    <row r="452" spans="1:7" ht="17.25" customHeight="1">
      <c r="A452" s="40"/>
      <c r="B452" s="242">
        <f>SUM(B451:B451)</f>
        <v>14</v>
      </c>
      <c r="C452" s="242"/>
      <c r="D452" s="242"/>
      <c r="E452" s="242">
        <f>SUM(E451:E451)</f>
        <v>797</v>
      </c>
      <c r="F452" s="190"/>
      <c r="G452" s="190"/>
    </row>
    <row r="453" spans="1:7" ht="17.25" customHeight="1">
      <c r="A453" s="242" t="s">
        <v>14</v>
      </c>
      <c r="B453" s="125">
        <f>B449+B452</f>
        <v>24</v>
      </c>
      <c r="C453" s="125"/>
      <c r="D453" s="125"/>
      <c r="E453" s="125">
        <f>E449+E452</f>
        <v>1589</v>
      </c>
      <c r="F453" s="190"/>
      <c r="G453" s="190"/>
    </row>
    <row r="454" spans="1:7" ht="17.25" customHeight="1">
      <c r="A454" s="246"/>
      <c r="B454" s="126"/>
      <c r="C454" s="127"/>
      <c r="D454" s="125"/>
      <c r="E454" s="125"/>
      <c r="F454" s="190"/>
      <c r="G454" s="190"/>
    </row>
    <row r="455" spans="1:7" ht="33" customHeight="1">
      <c r="A455" s="304" t="s">
        <v>610</v>
      </c>
      <c r="B455" s="305"/>
      <c r="C455" s="305"/>
      <c r="D455" s="305"/>
      <c r="E455" s="305"/>
      <c r="F455" s="190"/>
      <c r="G455" s="190"/>
    </row>
    <row r="456" spans="1:7" ht="23.25" customHeight="1">
      <c r="A456" s="40" t="s">
        <v>211</v>
      </c>
      <c r="B456" s="40" t="s">
        <v>212</v>
      </c>
      <c r="C456" s="40" t="s">
        <v>213</v>
      </c>
      <c r="D456" s="40" t="s">
        <v>214</v>
      </c>
      <c r="E456" s="39" t="s">
        <v>215</v>
      </c>
      <c r="F456" s="190"/>
      <c r="G456" s="190"/>
    </row>
    <row r="457" spans="1:7" ht="21.75" customHeight="1">
      <c r="A457" s="301" t="s">
        <v>222</v>
      </c>
      <c r="B457" s="302"/>
      <c r="C457" s="303"/>
      <c r="D457" s="40"/>
      <c r="E457" s="39"/>
      <c r="F457" s="190"/>
      <c r="G457" s="190"/>
    </row>
    <row r="458" spans="1:7" ht="17.25" customHeight="1">
      <c r="A458" s="40">
        <v>919</v>
      </c>
      <c r="B458" s="60">
        <v>4</v>
      </c>
      <c r="C458" s="60" t="s">
        <v>224</v>
      </c>
      <c r="D458" s="40" t="s">
        <v>552</v>
      </c>
      <c r="E458" s="40">
        <v>327</v>
      </c>
      <c r="F458" s="190"/>
      <c r="G458" s="190"/>
    </row>
    <row r="459" spans="1:7" ht="17.25" customHeight="1">
      <c r="A459" s="40">
        <v>920</v>
      </c>
      <c r="B459" s="40">
        <v>2</v>
      </c>
      <c r="C459" s="40" t="s">
        <v>227</v>
      </c>
      <c r="D459" s="40" t="s">
        <v>553</v>
      </c>
      <c r="E459" s="40">
        <v>194</v>
      </c>
      <c r="F459" s="190"/>
      <c r="G459" s="190"/>
    </row>
    <row r="460" spans="1:7" ht="17.25" customHeight="1">
      <c r="A460" s="40"/>
      <c r="B460" s="245">
        <f>SUM(B458:B459)</f>
        <v>6</v>
      </c>
      <c r="C460" s="245"/>
      <c r="D460" s="245"/>
      <c r="E460" s="245">
        <f>SUM(E458:E459)</f>
        <v>521</v>
      </c>
      <c r="F460" s="190"/>
      <c r="G460" s="190"/>
    </row>
    <row r="461" spans="1:7" ht="17.25" customHeight="1">
      <c r="A461" s="301" t="s">
        <v>216</v>
      </c>
      <c r="B461" s="302"/>
      <c r="C461" s="303"/>
      <c r="D461" s="40"/>
      <c r="E461" s="39"/>
      <c r="F461" s="190"/>
      <c r="G461" s="190"/>
    </row>
    <row r="462" spans="1:7" ht="17.25" customHeight="1">
      <c r="A462" s="40">
        <v>924</v>
      </c>
      <c r="B462" s="60">
        <v>15</v>
      </c>
      <c r="C462" s="60" t="s">
        <v>227</v>
      </c>
      <c r="D462" s="40" t="s">
        <v>555</v>
      </c>
      <c r="E462" s="40">
        <v>1559</v>
      </c>
      <c r="F462" s="190"/>
      <c r="G462" s="190"/>
    </row>
    <row r="463" spans="1:7" ht="17.25" customHeight="1">
      <c r="A463" s="40">
        <v>921</v>
      </c>
      <c r="B463" s="60">
        <v>8</v>
      </c>
      <c r="C463" s="60" t="s">
        <v>224</v>
      </c>
      <c r="D463" s="105" t="s">
        <v>554</v>
      </c>
      <c r="E463" s="40">
        <v>436</v>
      </c>
      <c r="F463" s="190"/>
      <c r="G463" s="190"/>
    </row>
    <row r="464" spans="1:7" ht="17.25" customHeight="1">
      <c r="A464" s="40">
        <v>922</v>
      </c>
      <c r="B464" s="40">
        <v>4</v>
      </c>
      <c r="C464" s="40" t="s">
        <v>227</v>
      </c>
      <c r="D464" s="105" t="s">
        <v>486</v>
      </c>
      <c r="E464" s="40">
        <v>335</v>
      </c>
      <c r="F464" s="190"/>
      <c r="G464" s="190"/>
    </row>
    <row r="465" spans="1:7" ht="17.25" customHeight="1">
      <c r="A465" s="40">
        <v>923</v>
      </c>
      <c r="B465" s="40">
        <v>3</v>
      </c>
      <c r="C465" s="255" t="s">
        <v>231</v>
      </c>
      <c r="D465" s="105" t="s">
        <v>238</v>
      </c>
      <c r="E465" s="60">
        <v>321</v>
      </c>
      <c r="F465" s="190"/>
      <c r="G465" s="190"/>
    </row>
    <row r="466" spans="1:7" ht="17.25" customHeight="1">
      <c r="A466" s="40"/>
      <c r="B466" s="245">
        <f>SUM(B462:B465)</f>
        <v>30</v>
      </c>
      <c r="C466" s="245"/>
      <c r="D466" s="245"/>
      <c r="E466" s="245">
        <f>SUM(E462:E465)</f>
        <v>2651</v>
      </c>
      <c r="F466" s="190"/>
      <c r="G466" s="190"/>
    </row>
    <row r="467" spans="1:7" ht="17.25" customHeight="1">
      <c r="A467" s="245" t="s">
        <v>14</v>
      </c>
      <c r="B467" s="125">
        <f>B460+B466</f>
        <v>36</v>
      </c>
      <c r="C467" s="125"/>
      <c r="D467" s="125"/>
      <c r="E467" s="125">
        <f>E460+E466</f>
        <v>3172</v>
      </c>
      <c r="F467" s="190"/>
      <c r="G467" s="190"/>
    </row>
    <row r="468" spans="1:7" ht="17.25" customHeight="1">
      <c r="A468" s="246"/>
      <c r="B468" s="126"/>
      <c r="C468" s="127"/>
      <c r="D468" s="125"/>
      <c r="E468" s="125"/>
      <c r="F468" s="190"/>
      <c r="G468" s="190"/>
    </row>
    <row r="469" spans="1:7" ht="26.25" customHeight="1">
      <c r="A469" s="304" t="s">
        <v>611</v>
      </c>
      <c r="B469" s="305"/>
      <c r="C469" s="305"/>
      <c r="D469" s="305"/>
      <c r="E469" s="305"/>
      <c r="F469" s="190"/>
      <c r="G469" s="190"/>
    </row>
    <row r="470" spans="1:7" ht="24" customHeight="1">
      <c r="A470" s="40" t="s">
        <v>211</v>
      </c>
      <c r="B470" s="40" t="s">
        <v>212</v>
      </c>
      <c r="C470" s="40" t="s">
        <v>213</v>
      </c>
      <c r="D470" s="40" t="s">
        <v>214</v>
      </c>
      <c r="E470" s="39" t="s">
        <v>215</v>
      </c>
      <c r="F470" s="190"/>
      <c r="G470" s="190"/>
    </row>
    <row r="471" spans="1:7" ht="18.75" customHeight="1">
      <c r="A471" s="301" t="s">
        <v>222</v>
      </c>
      <c r="B471" s="302"/>
      <c r="C471" s="303"/>
      <c r="D471" s="40"/>
      <c r="E471" s="39"/>
      <c r="F471" s="190"/>
      <c r="G471" s="190"/>
    </row>
    <row r="472" spans="1:7" ht="17.25" customHeight="1">
      <c r="A472" s="226">
        <v>118</v>
      </c>
      <c r="B472" s="227">
        <v>9</v>
      </c>
      <c r="C472" s="264" t="s">
        <v>217</v>
      </c>
      <c r="D472" s="105" t="s">
        <v>556</v>
      </c>
      <c r="E472" s="178">
        <v>703</v>
      </c>
      <c r="F472" s="190"/>
      <c r="G472" s="190"/>
    </row>
    <row r="473" spans="1:7" ht="17.25" customHeight="1">
      <c r="A473" s="227">
        <v>119</v>
      </c>
      <c r="B473" s="227">
        <v>12</v>
      </c>
      <c r="C473" s="264" t="s">
        <v>236</v>
      </c>
      <c r="D473" s="229" t="s">
        <v>557</v>
      </c>
      <c r="E473" s="264">
        <v>1246</v>
      </c>
      <c r="F473" s="190"/>
      <c r="G473" s="190"/>
    </row>
    <row r="474" spans="1:7" ht="17.25" customHeight="1">
      <c r="A474" s="40"/>
      <c r="B474" s="245">
        <f>SUM(B472:B473)</f>
        <v>21</v>
      </c>
      <c r="C474" s="245"/>
      <c r="D474" s="245"/>
      <c r="E474" s="245">
        <f>SUM(E472:E473)</f>
        <v>1949</v>
      </c>
      <c r="F474" s="190"/>
      <c r="G474" s="190"/>
    </row>
    <row r="475" spans="1:7" ht="17.25" customHeight="1">
      <c r="A475" s="301" t="s">
        <v>216</v>
      </c>
      <c r="B475" s="302"/>
      <c r="C475" s="303"/>
      <c r="D475" s="40"/>
      <c r="E475" s="39"/>
      <c r="F475" s="190"/>
      <c r="G475" s="190"/>
    </row>
    <row r="476" spans="1:7" ht="47.25" customHeight="1">
      <c r="A476" s="111">
        <v>122</v>
      </c>
      <c r="B476" s="112">
        <v>31</v>
      </c>
      <c r="C476" s="124" t="s">
        <v>377</v>
      </c>
      <c r="D476" s="117" t="s">
        <v>558</v>
      </c>
      <c r="E476" s="116">
        <v>3316</v>
      </c>
      <c r="F476" s="190"/>
      <c r="G476" s="190"/>
    </row>
    <row r="477" spans="1:7" ht="17.25" customHeight="1">
      <c r="A477" s="111">
        <v>120</v>
      </c>
      <c r="B477" s="112">
        <v>23</v>
      </c>
      <c r="C477" s="113" t="s">
        <v>217</v>
      </c>
      <c r="D477" s="117" t="s">
        <v>350</v>
      </c>
      <c r="E477" s="116">
        <v>1071</v>
      </c>
      <c r="F477" s="190"/>
      <c r="G477" s="190"/>
    </row>
    <row r="478" spans="1:7" ht="17.25" customHeight="1">
      <c r="A478" s="111">
        <v>123</v>
      </c>
      <c r="B478" s="112">
        <v>5</v>
      </c>
      <c r="C478" s="113" t="s">
        <v>217</v>
      </c>
      <c r="D478" s="117" t="s">
        <v>293</v>
      </c>
      <c r="E478" s="116">
        <v>233</v>
      </c>
      <c r="F478" s="190"/>
      <c r="G478" s="190"/>
    </row>
    <row r="479" spans="1:7" ht="17.25" customHeight="1">
      <c r="A479" s="111">
        <v>124</v>
      </c>
      <c r="B479" s="112">
        <v>14</v>
      </c>
      <c r="C479" s="113" t="s">
        <v>217</v>
      </c>
      <c r="D479" s="117" t="s">
        <v>291</v>
      </c>
      <c r="E479" s="104">
        <v>656</v>
      </c>
      <c r="F479" s="190"/>
      <c r="G479" s="190"/>
    </row>
    <row r="480" spans="1:7" ht="17.25" customHeight="1">
      <c r="A480" s="40">
        <v>125</v>
      </c>
      <c r="B480" s="178">
        <v>2</v>
      </c>
      <c r="C480" s="178" t="s">
        <v>236</v>
      </c>
      <c r="D480" s="105" t="s">
        <v>559</v>
      </c>
      <c r="E480" s="178">
        <v>200</v>
      </c>
      <c r="F480" s="190"/>
      <c r="G480" s="190"/>
    </row>
    <row r="481" spans="1:7" ht="17.25" customHeight="1">
      <c r="A481" s="40"/>
      <c r="B481" s="245">
        <f>SUM(B476:B480)</f>
        <v>75</v>
      </c>
      <c r="C481" s="247"/>
      <c r="D481" s="247"/>
      <c r="E481" s="247">
        <f>SUM(E476:E480)</f>
        <v>5476</v>
      </c>
      <c r="F481" s="190"/>
      <c r="G481" s="190"/>
    </row>
    <row r="482" spans="1:7" ht="17.25" customHeight="1">
      <c r="A482" s="301" t="s">
        <v>229</v>
      </c>
      <c r="B482" s="302"/>
      <c r="C482" s="303"/>
      <c r="D482" s="245"/>
      <c r="E482" s="245"/>
      <c r="F482" s="190"/>
      <c r="G482" s="190"/>
    </row>
    <row r="483" spans="1:7" ht="17.25" customHeight="1">
      <c r="A483" s="111">
        <v>121</v>
      </c>
      <c r="B483" s="112">
        <v>3</v>
      </c>
      <c r="C483" s="113" t="s">
        <v>217</v>
      </c>
      <c r="D483" s="265" t="s">
        <v>238</v>
      </c>
      <c r="E483" s="184">
        <v>102</v>
      </c>
      <c r="F483" s="190"/>
      <c r="G483" s="190"/>
    </row>
    <row r="484" spans="1:7" ht="17.25" customHeight="1">
      <c r="A484" s="40"/>
      <c r="B484" s="245">
        <f>B483</f>
        <v>3</v>
      </c>
      <c r="C484" s="245"/>
      <c r="D484" s="245"/>
      <c r="E484" s="245">
        <f>E483</f>
        <v>102</v>
      </c>
      <c r="F484" s="190"/>
      <c r="G484" s="190"/>
    </row>
    <row r="485" spans="1:7" ht="17.25" customHeight="1">
      <c r="A485" s="245" t="s">
        <v>14</v>
      </c>
      <c r="B485" s="125">
        <f>B474+B481+B484</f>
        <v>99</v>
      </c>
      <c r="C485" s="125"/>
      <c r="D485" s="125"/>
      <c r="E485" s="125">
        <f>E474+E481+E484</f>
        <v>7527</v>
      </c>
      <c r="F485" s="190"/>
      <c r="G485" s="190"/>
    </row>
    <row r="486" spans="1:7" ht="17.25" customHeight="1">
      <c r="A486" s="249"/>
      <c r="B486" s="126"/>
      <c r="C486" s="127"/>
      <c r="D486" s="125"/>
      <c r="E486" s="125"/>
      <c r="F486" s="190"/>
      <c r="G486" s="190"/>
    </row>
    <row r="487" spans="1:7" ht="25.5" customHeight="1">
      <c r="A487" s="304" t="s">
        <v>612</v>
      </c>
      <c r="B487" s="305"/>
      <c r="C487" s="305"/>
      <c r="D487" s="305"/>
      <c r="E487" s="305"/>
      <c r="F487" s="190"/>
      <c r="G487" s="190"/>
    </row>
    <row r="488" spans="1:7" ht="22.5" customHeight="1">
      <c r="A488" s="40" t="s">
        <v>211</v>
      </c>
      <c r="B488" s="40" t="s">
        <v>212</v>
      </c>
      <c r="C488" s="40" t="s">
        <v>213</v>
      </c>
      <c r="D488" s="40" t="s">
        <v>214</v>
      </c>
      <c r="E488" s="39" t="s">
        <v>215</v>
      </c>
      <c r="F488" s="190"/>
      <c r="G488" s="190"/>
    </row>
    <row r="489" spans="1:7" ht="17.25" customHeight="1">
      <c r="A489" s="301" t="s">
        <v>222</v>
      </c>
      <c r="B489" s="302"/>
      <c r="C489" s="303"/>
      <c r="D489" s="40"/>
      <c r="E489" s="39"/>
      <c r="F489" s="190"/>
      <c r="G489" s="190"/>
    </row>
    <row r="490" spans="1:7" ht="17.25" customHeight="1">
      <c r="A490" s="60">
        <v>24002</v>
      </c>
      <c r="B490" s="178">
        <v>1</v>
      </c>
      <c r="C490" s="105" t="s">
        <v>223</v>
      </c>
      <c r="D490" s="105" t="s">
        <v>562</v>
      </c>
      <c r="E490" s="178">
        <v>54</v>
      </c>
      <c r="F490" s="190"/>
      <c r="G490" s="190"/>
    </row>
    <row r="491" spans="1:7" ht="17.25" customHeight="1">
      <c r="A491" s="60">
        <v>24003</v>
      </c>
      <c r="B491" s="178">
        <v>1</v>
      </c>
      <c r="C491" s="105" t="s">
        <v>224</v>
      </c>
      <c r="D491" s="105" t="s">
        <v>563</v>
      </c>
      <c r="E491" s="178">
        <v>87</v>
      </c>
      <c r="F491" s="190"/>
      <c r="G491" s="190"/>
    </row>
    <row r="492" spans="1:7" ht="17.25" customHeight="1">
      <c r="A492" s="60">
        <v>24004</v>
      </c>
      <c r="B492" s="178">
        <v>3</v>
      </c>
      <c r="C492" s="105" t="s">
        <v>227</v>
      </c>
      <c r="D492" s="105" t="s">
        <v>564</v>
      </c>
      <c r="E492" s="178">
        <v>355</v>
      </c>
      <c r="F492" s="190"/>
      <c r="G492" s="190"/>
    </row>
    <row r="493" spans="1:7" ht="17.25" customHeight="1">
      <c r="A493" s="40"/>
      <c r="B493" s="248">
        <f>SUM(B490:B492)</f>
        <v>5</v>
      </c>
      <c r="C493" s="248"/>
      <c r="D493" s="248"/>
      <c r="E493" s="248">
        <f>SUM(E490:E492)</f>
        <v>496</v>
      </c>
      <c r="F493" s="190"/>
      <c r="G493" s="190"/>
    </row>
    <row r="494" spans="1:7" ht="17.25" customHeight="1">
      <c r="A494" s="301" t="s">
        <v>216</v>
      </c>
      <c r="B494" s="302"/>
      <c r="C494" s="303"/>
      <c r="D494" s="40"/>
      <c r="E494" s="39"/>
      <c r="F494" s="190"/>
      <c r="G494" s="190"/>
    </row>
    <row r="495" spans="1:7" ht="17.25" customHeight="1">
      <c r="A495" s="60">
        <v>24005</v>
      </c>
      <c r="B495" s="178">
        <v>1</v>
      </c>
      <c r="C495" s="178" t="s">
        <v>223</v>
      </c>
      <c r="D495" s="105" t="s">
        <v>565</v>
      </c>
      <c r="E495" s="178">
        <v>56</v>
      </c>
      <c r="F495" s="190"/>
      <c r="G495" s="190"/>
    </row>
    <row r="496" spans="1:7" ht="17.25" customHeight="1">
      <c r="A496" s="60">
        <v>24006</v>
      </c>
      <c r="B496" s="178">
        <v>5</v>
      </c>
      <c r="C496" s="132" t="s">
        <v>239</v>
      </c>
      <c r="D496" s="105" t="s">
        <v>566</v>
      </c>
      <c r="E496" s="178">
        <v>1048</v>
      </c>
      <c r="F496" s="190"/>
      <c r="G496" s="190"/>
    </row>
    <row r="497" spans="1:7" ht="17.25" customHeight="1">
      <c r="A497" s="60">
        <v>24007</v>
      </c>
      <c r="B497" s="178">
        <v>1</v>
      </c>
      <c r="C497" s="132" t="s">
        <v>242</v>
      </c>
      <c r="D497" s="105" t="s">
        <v>567</v>
      </c>
      <c r="E497" s="178">
        <v>300</v>
      </c>
      <c r="F497" s="190"/>
      <c r="G497" s="190"/>
    </row>
    <row r="498" spans="1:7" ht="17.25" customHeight="1">
      <c r="A498" s="60">
        <v>24009</v>
      </c>
      <c r="B498" s="205">
        <v>1</v>
      </c>
      <c r="C498" s="255" t="s">
        <v>569</v>
      </c>
      <c r="D498" s="183" t="s">
        <v>568</v>
      </c>
      <c r="E498" s="205">
        <v>780</v>
      </c>
      <c r="F498" s="190"/>
      <c r="G498" s="190"/>
    </row>
    <row r="499" spans="1:7" ht="17.25" customHeight="1">
      <c r="A499" s="60">
        <v>24008</v>
      </c>
      <c r="B499" s="205">
        <v>2</v>
      </c>
      <c r="C499" s="183" t="s">
        <v>227</v>
      </c>
      <c r="D499" s="183" t="s">
        <v>570</v>
      </c>
      <c r="E499" s="205">
        <v>155</v>
      </c>
      <c r="F499" s="190"/>
      <c r="G499" s="190"/>
    </row>
    <row r="500" spans="1:7" ht="17.25" customHeight="1">
      <c r="A500" s="60">
        <v>24008</v>
      </c>
      <c r="B500" s="205">
        <v>1</v>
      </c>
      <c r="C500" s="255" t="s">
        <v>231</v>
      </c>
      <c r="D500" s="266" t="s">
        <v>571</v>
      </c>
      <c r="E500" s="183">
        <v>95</v>
      </c>
      <c r="F500" s="190"/>
      <c r="G500" s="190"/>
    </row>
    <row r="501" spans="1:7" ht="17.25" customHeight="1">
      <c r="A501" s="40"/>
      <c r="B501" s="248">
        <f>SUM(B495:B500)</f>
        <v>11</v>
      </c>
      <c r="C501" s="248"/>
      <c r="D501" s="248"/>
      <c r="E501" s="248">
        <f>SUM(E495:E500)</f>
        <v>2434</v>
      </c>
      <c r="F501" s="190"/>
      <c r="G501" s="190"/>
    </row>
    <row r="502" spans="1:7" ht="17.25" customHeight="1">
      <c r="A502" s="301" t="s">
        <v>228</v>
      </c>
      <c r="B502" s="302"/>
      <c r="C502" s="303"/>
      <c r="D502" s="248"/>
      <c r="E502" s="248"/>
      <c r="F502" s="190"/>
      <c r="G502" s="190"/>
    </row>
    <row r="503" spans="1:7" ht="17.25" customHeight="1">
      <c r="A503" s="42">
        <v>24001</v>
      </c>
      <c r="B503" s="60">
        <v>2</v>
      </c>
      <c r="C503" s="40" t="s">
        <v>217</v>
      </c>
      <c r="D503" s="70" t="s">
        <v>300</v>
      </c>
      <c r="E503" s="40">
        <v>120</v>
      </c>
      <c r="F503" s="190"/>
      <c r="G503" s="190"/>
    </row>
    <row r="504" spans="1:7" ht="17.25" customHeight="1">
      <c r="A504" s="40"/>
      <c r="B504" s="248">
        <f>B503</f>
        <v>2</v>
      </c>
      <c r="C504" s="248"/>
      <c r="D504" s="248"/>
      <c r="E504" s="248">
        <f>E503</f>
        <v>120</v>
      </c>
      <c r="F504" s="190"/>
      <c r="G504" s="190"/>
    </row>
    <row r="505" spans="1:7" ht="17.25" customHeight="1">
      <c r="A505" s="248" t="s">
        <v>14</v>
      </c>
      <c r="B505" s="125">
        <f>B493+B501+B504</f>
        <v>18</v>
      </c>
      <c r="C505" s="125"/>
      <c r="D505" s="125"/>
      <c r="E505" s="125">
        <f>E493+E501+E504</f>
        <v>3050</v>
      </c>
      <c r="F505" s="190"/>
      <c r="G505" s="190"/>
    </row>
    <row r="506" spans="1:7" ht="17.25" customHeight="1">
      <c r="A506" s="271"/>
      <c r="B506" s="126"/>
      <c r="C506" s="127"/>
      <c r="D506" s="125"/>
      <c r="E506" s="125"/>
      <c r="F506" s="190"/>
      <c r="G506" s="190"/>
    </row>
    <row r="507" spans="1:7" ht="27" customHeight="1">
      <c r="A507" s="304" t="s">
        <v>619</v>
      </c>
      <c r="B507" s="305"/>
      <c r="C507" s="305"/>
      <c r="D507" s="305"/>
      <c r="E507" s="305"/>
      <c r="F507" s="190"/>
      <c r="G507" s="190"/>
    </row>
    <row r="508" spans="1:7" ht="24" customHeight="1">
      <c r="A508" s="40" t="s">
        <v>211</v>
      </c>
      <c r="B508" s="40" t="s">
        <v>212</v>
      </c>
      <c r="C508" s="40" t="s">
        <v>213</v>
      </c>
      <c r="D508" s="40" t="s">
        <v>214</v>
      </c>
      <c r="E508" s="39" t="s">
        <v>215</v>
      </c>
      <c r="F508" s="190"/>
      <c r="G508" s="190"/>
    </row>
    <row r="509" spans="1:7" ht="17.25" customHeight="1">
      <c r="A509" s="301" t="s">
        <v>222</v>
      </c>
      <c r="B509" s="302"/>
      <c r="C509" s="303"/>
      <c r="D509" s="40"/>
      <c r="E509" s="39"/>
      <c r="F509" s="190"/>
      <c r="G509" s="190"/>
    </row>
    <row r="510" spans="1:7" ht="17.25" customHeight="1">
      <c r="A510" s="214">
        <v>1129</v>
      </c>
      <c r="B510" s="275">
        <v>21</v>
      </c>
      <c r="C510" s="275" t="s">
        <v>227</v>
      </c>
      <c r="D510" s="214" t="s">
        <v>613</v>
      </c>
      <c r="E510" s="214">
        <v>2240</v>
      </c>
      <c r="F510" s="190"/>
      <c r="G510" s="190"/>
    </row>
    <row r="511" spans="1:7" ht="17.25" customHeight="1">
      <c r="A511" s="40"/>
      <c r="B511" s="270">
        <f>SUM(B510:B510)</f>
        <v>21</v>
      </c>
      <c r="C511" s="270"/>
      <c r="D511" s="270"/>
      <c r="E511" s="270">
        <f>SUM(E510:E510)</f>
        <v>2240</v>
      </c>
      <c r="F511" s="190"/>
      <c r="G511" s="190"/>
    </row>
    <row r="512" spans="1:7" ht="17.25" customHeight="1">
      <c r="A512" s="301" t="s">
        <v>216</v>
      </c>
      <c r="B512" s="302"/>
      <c r="C512" s="303"/>
      <c r="D512" s="40"/>
      <c r="E512" s="39"/>
      <c r="F512" s="190"/>
      <c r="G512" s="190"/>
    </row>
    <row r="513" spans="1:7" ht="31.5" customHeight="1">
      <c r="A513" s="214">
        <v>1130</v>
      </c>
      <c r="B513" s="275">
        <v>15</v>
      </c>
      <c r="C513" s="278" t="s">
        <v>231</v>
      </c>
      <c r="D513" s="214" t="s">
        <v>614</v>
      </c>
      <c r="E513" s="214">
        <v>1390</v>
      </c>
      <c r="F513" s="190"/>
      <c r="G513" s="190"/>
    </row>
    <row r="514" spans="1:7" ht="17.25" customHeight="1">
      <c r="A514" s="214">
        <v>1131</v>
      </c>
      <c r="B514" s="214">
        <v>5</v>
      </c>
      <c r="C514" s="274" t="s">
        <v>239</v>
      </c>
      <c r="D514" s="214" t="s">
        <v>615</v>
      </c>
      <c r="E514" s="214">
        <v>824</v>
      </c>
      <c r="F514" s="190"/>
      <c r="G514" s="190"/>
    </row>
    <row r="515" spans="1:7" ht="17.25" customHeight="1">
      <c r="A515" s="214">
        <v>1132</v>
      </c>
      <c r="B515" s="214">
        <v>2</v>
      </c>
      <c r="C515" s="274" t="s">
        <v>242</v>
      </c>
      <c r="D515" s="276" t="s">
        <v>616</v>
      </c>
      <c r="E515" s="214">
        <v>497</v>
      </c>
      <c r="F515" s="190"/>
      <c r="G515" s="190"/>
    </row>
    <row r="516" spans="1:7" ht="17.25" customHeight="1">
      <c r="A516" s="287">
        <v>1125</v>
      </c>
      <c r="B516" s="276">
        <v>22</v>
      </c>
      <c r="C516" s="276" t="s">
        <v>227</v>
      </c>
      <c r="D516" s="239" t="s">
        <v>380</v>
      </c>
      <c r="E516" s="277">
        <v>2261</v>
      </c>
      <c r="F516" s="190"/>
      <c r="G516" s="190"/>
    </row>
    <row r="517" spans="1:7" ht="17.25" customHeight="1">
      <c r="A517" s="214">
        <v>1126</v>
      </c>
      <c r="B517" s="214">
        <v>20</v>
      </c>
      <c r="C517" s="276" t="s">
        <v>224</v>
      </c>
      <c r="D517" s="239" t="s">
        <v>485</v>
      </c>
      <c r="E517" s="244">
        <v>1866</v>
      </c>
      <c r="F517" s="190"/>
      <c r="G517" s="190"/>
    </row>
    <row r="518" spans="1:7" ht="17.25" customHeight="1">
      <c r="A518" s="214">
        <v>1127</v>
      </c>
      <c r="B518" s="214">
        <v>21</v>
      </c>
      <c r="C518" s="276" t="s">
        <v>224</v>
      </c>
      <c r="D518" s="239" t="s">
        <v>617</v>
      </c>
      <c r="E518" s="244">
        <v>1988</v>
      </c>
      <c r="F518" s="190"/>
      <c r="G518" s="190"/>
    </row>
    <row r="519" spans="1:7" ht="17.25" customHeight="1">
      <c r="A519" s="40"/>
      <c r="B519" s="270">
        <f>SUM(B513:B518)</f>
        <v>85</v>
      </c>
      <c r="C519" s="270"/>
      <c r="D519" s="270"/>
      <c r="E519" s="270">
        <f>SUM(E513:E518)</f>
        <v>8826</v>
      </c>
      <c r="F519" s="190"/>
      <c r="G519" s="190"/>
    </row>
    <row r="520" spans="1:7" ht="17.25" customHeight="1">
      <c r="A520" s="301" t="s">
        <v>229</v>
      </c>
      <c r="B520" s="302"/>
      <c r="C520" s="303"/>
      <c r="D520" s="270"/>
      <c r="E520" s="270"/>
      <c r="F520" s="190"/>
      <c r="G520" s="190"/>
    </row>
    <row r="521" spans="1:7" ht="17.25" customHeight="1">
      <c r="A521" s="214">
        <v>1128</v>
      </c>
      <c r="B521" s="275">
        <v>1</v>
      </c>
      <c r="C521" s="275" t="s">
        <v>224</v>
      </c>
      <c r="D521" s="276" t="s">
        <v>618</v>
      </c>
      <c r="E521" s="214">
        <v>52</v>
      </c>
      <c r="F521" s="190"/>
      <c r="G521" s="190"/>
    </row>
    <row r="522" spans="1:7" ht="17.25" customHeight="1">
      <c r="A522" s="40"/>
      <c r="B522" s="270">
        <f>B521</f>
        <v>1</v>
      </c>
      <c r="C522" s="270"/>
      <c r="D522" s="270"/>
      <c r="E522" s="270">
        <f>E521</f>
        <v>52</v>
      </c>
      <c r="F522" s="190"/>
      <c r="G522" s="190"/>
    </row>
    <row r="523" spans="1:7" ht="17.25" customHeight="1">
      <c r="A523" s="270" t="s">
        <v>14</v>
      </c>
      <c r="B523" s="125">
        <f>B511+B519+B522</f>
        <v>107</v>
      </c>
      <c r="C523" s="125"/>
      <c r="D523" s="125"/>
      <c r="E523" s="125">
        <f>E511+E519+E522</f>
        <v>11118</v>
      </c>
      <c r="F523" s="190"/>
      <c r="G523" s="190"/>
    </row>
    <row r="524" spans="1:7" ht="17.25" customHeight="1">
      <c r="A524" s="271"/>
      <c r="B524" s="126"/>
      <c r="C524" s="127"/>
      <c r="D524" s="125"/>
      <c r="E524" s="125"/>
      <c r="F524" s="190"/>
      <c r="G524" s="190"/>
    </row>
    <row r="525" spans="1:7" ht="27.75" customHeight="1">
      <c r="A525" s="304" t="s">
        <v>635</v>
      </c>
      <c r="B525" s="305"/>
      <c r="C525" s="305"/>
      <c r="D525" s="305"/>
      <c r="E525" s="305"/>
      <c r="F525" s="190"/>
      <c r="G525" s="190"/>
    </row>
    <row r="526" spans="1:7" ht="27" customHeight="1">
      <c r="A526" s="40" t="s">
        <v>211</v>
      </c>
      <c r="B526" s="40" t="s">
        <v>212</v>
      </c>
      <c r="C526" s="40" t="s">
        <v>213</v>
      </c>
      <c r="D526" s="40" t="s">
        <v>214</v>
      </c>
      <c r="E526" s="39" t="s">
        <v>215</v>
      </c>
      <c r="F526" s="190"/>
      <c r="G526" s="190"/>
    </row>
    <row r="527" spans="1:7" ht="17.25" customHeight="1">
      <c r="A527" s="301" t="s">
        <v>222</v>
      </c>
      <c r="B527" s="302"/>
      <c r="C527" s="303"/>
      <c r="D527" s="40"/>
      <c r="E527" s="39"/>
      <c r="F527" s="190"/>
      <c r="G527" s="190"/>
    </row>
    <row r="528" spans="1:7" ht="17.25" customHeight="1">
      <c r="A528" s="214" t="s">
        <v>620</v>
      </c>
      <c r="B528" s="34">
        <v>2</v>
      </c>
      <c r="C528" s="34" t="s">
        <v>224</v>
      </c>
      <c r="D528" s="156" t="s">
        <v>621</v>
      </c>
      <c r="E528" s="156">
        <v>166</v>
      </c>
      <c r="F528" s="190"/>
      <c r="G528" s="190"/>
    </row>
    <row r="529" spans="1:7" ht="17.25" customHeight="1">
      <c r="A529" s="214" t="s">
        <v>622</v>
      </c>
      <c r="B529" s="34">
        <v>2</v>
      </c>
      <c r="C529" s="34" t="s">
        <v>227</v>
      </c>
      <c r="D529" s="156" t="s">
        <v>623</v>
      </c>
      <c r="E529" s="156">
        <v>212</v>
      </c>
      <c r="F529" s="190"/>
      <c r="G529" s="190"/>
    </row>
    <row r="530" spans="1:7" ht="17.25" customHeight="1">
      <c r="A530" s="40"/>
      <c r="B530" s="270">
        <f>SUM(B528:B529)</f>
        <v>4</v>
      </c>
      <c r="C530" s="270"/>
      <c r="D530" s="270"/>
      <c r="E530" s="270">
        <f>SUM(E528:E529)</f>
        <v>378</v>
      </c>
      <c r="F530" s="190"/>
      <c r="G530" s="190"/>
    </row>
    <row r="531" spans="1:7" ht="17.25" customHeight="1">
      <c r="A531" s="301" t="s">
        <v>216</v>
      </c>
      <c r="B531" s="302"/>
      <c r="C531" s="303"/>
      <c r="D531" s="40"/>
      <c r="E531" s="39"/>
      <c r="F531" s="190"/>
      <c r="G531" s="190"/>
    </row>
    <row r="532" spans="1:7" ht="17.25" customHeight="1">
      <c r="A532" s="214" t="s">
        <v>624</v>
      </c>
      <c r="B532" s="34">
        <v>2</v>
      </c>
      <c r="C532" s="279" t="s">
        <v>239</v>
      </c>
      <c r="D532" s="156" t="s">
        <v>625</v>
      </c>
      <c r="E532" s="156">
        <v>420</v>
      </c>
      <c r="F532" s="190"/>
      <c r="G532" s="190"/>
    </row>
    <row r="533" spans="1:7" ht="17.25" customHeight="1">
      <c r="A533" s="214" t="s">
        <v>624</v>
      </c>
      <c r="B533" s="34">
        <v>2</v>
      </c>
      <c r="C533" s="279" t="s">
        <v>242</v>
      </c>
      <c r="D533" s="156" t="s">
        <v>626</v>
      </c>
      <c r="E533" s="156">
        <v>577</v>
      </c>
      <c r="F533" s="190"/>
      <c r="G533" s="190"/>
    </row>
    <row r="534" spans="1:7" ht="17.25" customHeight="1">
      <c r="A534" s="214" t="s">
        <v>627</v>
      </c>
      <c r="B534" s="34">
        <v>1</v>
      </c>
      <c r="C534" s="279" t="s">
        <v>231</v>
      </c>
      <c r="D534" s="214" t="s">
        <v>243</v>
      </c>
      <c r="E534" s="156">
        <v>115</v>
      </c>
      <c r="F534" s="190"/>
      <c r="G534" s="190"/>
    </row>
    <row r="535" spans="1:7" ht="17.25" customHeight="1">
      <c r="A535" s="40"/>
      <c r="B535" s="270">
        <f>SUM(B532:B534)</f>
        <v>5</v>
      </c>
      <c r="C535" s="270"/>
      <c r="D535" s="270"/>
      <c r="E535" s="270">
        <f>SUM(E532:E534)</f>
        <v>1112</v>
      </c>
      <c r="F535" s="190"/>
      <c r="G535" s="190"/>
    </row>
    <row r="536" spans="1:7" ht="17.25" customHeight="1">
      <c r="A536" s="270" t="s">
        <v>14</v>
      </c>
      <c r="B536" s="125">
        <f>B530+B535</f>
        <v>9</v>
      </c>
      <c r="C536" s="125"/>
      <c r="D536" s="125"/>
      <c r="E536" s="125">
        <f>E530+E535</f>
        <v>1490</v>
      </c>
      <c r="F536" s="190"/>
      <c r="G536" s="190"/>
    </row>
    <row r="537" spans="1:7" ht="17.25" customHeight="1">
      <c r="A537" s="271"/>
      <c r="B537" s="126"/>
      <c r="C537" s="127"/>
      <c r="D537" s="125"/>
      <c r="E537" s="125"/>
      <c r="F537" s="190"/>
      <c r="G537" s="190"/>
    </row>
    <row r="538" spans="1:7" ht="30.75" customHeight="1">
      <c r="A538" s="304" t="s">
        <v>636</v>
      </c>
      <c r="B538" s="305"/>
      <c r="C538" s="305"/>
      <c r="D538" s="305"/>
      <c r="E538" s="305"/>
      <c r="F538" s="190"/>
      <c r="G538" s="190"/>
    </row>
    <row r="539" spans="1:7" ht="28.5" customHeight="1">
      <c r="A539" s="40" t="s">
        <v>211</v>
      </c>
      <c r="B539" s="40" t="s">
        <v>212</v>
      </c>
      <c r="C539" s="40" t="s">
        <v>213</v>
      </c>
      <c r="D539" s="40" t="s">
        <v>214</v>
      </c>
      <c r="E539" s="39" t="s">
        <v>215</v>
      </c>
      <c r="F539" s="190"/>
      <c r="G539" s="190"/>
    </row>
    <row r="540" spans="1:7" ht="17.25" customHeight="1">
      <c r="A540" s="301" t="s">
        <v>222</v>
      </c>
      <c r="B540" s="302"/>
      <c r="C540" s="303"/>
      <c r="D540" s="40"/>
      <c r="E540" s="39"/>
      <c r="F540" s="190"/>
      <c r="G540" s="190"/>
    </row>
    <row r="541" spans="1:7" ht="17.25" customHeight="1">
      <c r="A541" s="287">
        <v>770</v>
      </c>
      <c r="B541" s="244">
        <v>3</v>
      </c>
      <c r="C541" s="244" t="s">
        <v>224</v>
      </c>
      <c r="D541" s="244" t="s">
        <v>628</v>
      </c>
      <c r="E541" s="244">
        <v>216</v>
      </c>
      <c r="F541" s="190"/>
      <c r="G541" s="190"/>
    </row>
    <row r="542" spans="1:7" ht="27.75" customHeight="1">
      <c r="A542" s="214">
        <v>771</v>
      </c>
      <c r="B542" s="244">
        <v>20</v>
      </c>
      <c r="C542" s="244" t="s">
        <v>227</v>
      </c>
      <c r="D542" s="244" t="s">
        <v>629</v>
      </c>
      <c r="E542" s="244">
        <v>2098</v>
      </c>
      <c r="F542" s="190"/>
      <c r="G542" s="190"/>
    </row>
    <row r="543" spans="1:7" ht="17.25" customHeight="1">
      <c r="A543" s="40"/>
      <c r="B543" s="270">
        <f>SUM(B541:B542)</f>
        <v>23</v>
      </c>
      <c r="C543" s="270"/>
      <c r="D543" s="270"/>
      <c r="E543" s="270">
        <f>SUM(E541:E542)</f>
        <v>2314</v>
      </c>
      <c r="F543" s="190"/>
      <c r="G543" s="190"/>
    </row>
    <row r="544" spans="1:7" ht="17.25" customHeight="1">
      <c r="A544" s="301" t="s">
        <v>216</v>
      </c>
      <c r="B544" s="302"/>
      <c r="C544" s="303"/>
      <c r="D544" s="40"/>
      <c r="E544" s="39"/>
      <c r="F544" s="190"/>
      <c r="G544" s="190"/>
    </row>
    <row r="545" spans="1:7" ht="17.25" customHeight="1">
      <c r="A545" s="214">
        <v>774</v>
      </c>
      <c r="B545" s="275">
        <v>2</v>
      </c>
      <c r="C545" s="278" t="s">
        <v>231</v>
      </c>
      <c r="D545" s="280" t="s">
        <v>630</v>
      </c>
      <c r="E545" s="214">
        <v>203</v>
      </c>
      <c r="F545" s="190"/>
      <c r="G545" s="190"/>
    </row>
    <row r="546" spans="1:7" ht="17.25" customHeight="1">
      <c r="A546" s="214">
        <v>775</v>
      </c>
      <c r="B546" s="280">
        <v>3</v>
      </c>
      <c r="C546" s="278" t="s">
        <v>239</v>
      </c>
      <c r="D546" s="280" t="s">
        <v>631</v>
      </c>
      <c r="E546" s="280">
        <v>607</v>
      </c>
      <c r="F546" s="190"/>
      <c r="G546" s="190"/>
    </row>
    <row r="547" spans="1:7" ht="17.25" customHeight="1">
      <c r="A547" s="214">
        <v>776</v>
      </c>
      <c r="B547" s="214">
        <v>2</v>
      </c>
      <c r="C547" s="278" t="s">
        <v>242</v>
      </c>
      <c r="D547" s="214" t="s">
        <v>632</v>
      </c>
      <c r="E547" s="214">
        <v>542</v>
      </c>
      <c r="F547" s="190"/>
      <c r="G547" s="190"/>
    </row>
    <row r="548" spans="1:7" ht="17.25" customHeight="1">
      <c r="A548" s="34">
        <v>772</v>
      </c>
      <c r="B548" s="156">
        <v>15</v>
      </c>
      <c r="C548" s="156" t="s">
        <v>217</v>
      </c>
      <c r="D548" s="156" t="s">
        <v>633</v>
      </c>
      <c r="E548" s="156">
        <v>1093</v>
      </c>
      <c r="F548" s="190"/>
      <c r="G548" s="190"/>
    </row>
    <row r="549" spans="1:7" ht="17.25" customHeight="1">
      <c r="A549" s="34">
        <v>773</v>
      </c>
      <c r="B549" s="156">
        <v>3</v>
      </c>
      <c r="C549" s="156" t="s">
        <v>236</v>
      </c>
      <c r="D549" s="156" t="s">
        <v>634</v>
      </c>
      <c r="E549" s="156">
        <v>240</v>
      </c>
      <c r="F549" s="190"/>
      <c r="G549" s="190"/>
    </row>
    <row r="550" spans="1:7" ht="17.25" customHeight="1">
      <c r="A550" s="40"/>
      <c r="B550" s="270">
        <f>SUM(B545:B549)</f>
        <v>25</v>
      </c>
      <c r="C550" s="270"/>
      <c r="D550" s="270"/>
      <c r="E550" s="270">
        <f>SUM(E545:E549)</f>
        <v>2685</v>
      </c>
      <c r="F550" s="190"/>
      <c r="G550" s="190"/>
    </row>
    <row r="551" spans="1:7" ht="17.25" customHeight="1">
      <c r="A551" s="270" t="s">
        <v>14</v>
      </c>
      <c r="B551" s="125">
        <f>B543+B550</f>
        <v>48</v>
      </c>
      <c r="C551" s="125"/>
      <c r="D551" s="125"/>
      <c r="E551" s="125">
        <f>E543+E550</f>
        <v>4999</v>
      </c>
      <c r="F551" s="190"/>
      <c r="G551" s="190"/>
    </row>
    <row r="552" spans="1:7" ht="17.25" customHeight="1">
      <c r="A552" s="271"/>
      <c r="B552" s="126"/>
      <c r="C552" s="127"/>
      <c r="D552" s="125"/>
      <c r="E552" s="125"/>
      <c r="F552" s="190"/>
      <c r="G552" s="190"/>
    </row>
    <row r="553" spans="1:7" ht="31.5" customHeight="1">
      <c r="A553" s="304" t="s">
        <v>654</v>
      </c>
      <c r="B553" s="305"/>
      <c r="C553" s="305"/>
      <c r="D553" s="305"/>
      <c r="E553" s="305"/>
      <c r="F553" s="190"/>
      <c r="G553" s="190"/>
    </row>
    <row r="554" spans="1:7" ht="24" customHeight="1">
      <c r="A554" s="40" t="s">
        <v>211</v>
      </c>
      <c r="B554" s="40" t="s">
        <v>212</v>
      </c>
      <c r="C554" s="40" t="s">
        <v>213</v>
      </c>
      <c r="D554" s="40" t="s">
        <v>214</v>
      </c>
      <c r="E554" s="39" t="s">
        <v>215</v>
      </c>
      <c r="F554" s="190"/>
      <c r="G554" s="190"/>
    </row>
    <row r="555" spans="1:7" ht="17.25" customHeight="1">
      <c r="A555" s="301" t="s">
        <v>222</v>
      </c>
      <c r="B555" s="302"/>
      <c r="C555" s="303"/>
      <c r="D555" s="40"/>
      <c r="E555" s="39"/>
      <c r="F555" s="190"/>
      <c r="G555" s="190"/>
    </row>
    <row r="556" spans="1:7" ht="17.25" customHeight="1">
      <c r="A556" s="275">
        <v>444</v>
      </c>
      <c r="B556" s="281">
        <v>11</v>
      </c>
      <c r="C556" s="281" t="s">
        <v>227</v>
      </c>
      <c r="D556" s="282" t="s">
        <v>637</v>
      </c>
      <c r="E556" s="281">
        <v>1303</v>
      </c>
      <c r="F556" s="190"/>
      <c r="G556" s="190"/>
    </row>
    <row r="557" spans="1:7" ht="17.25" customHeight="1">
      <c r="A557" s="40"/>
      <c r="B557" s="270">
        <f>SUM(B556:B556)</f>
        <v>11</v>
      </c>
      <c r="C557" s="270"/>
      <c r="D557" s="270"/>
      <c r="E557" s="270">
        <f>SUM(E556:E556)</f>
        <v>1303</v>
      </c>
      <c r="F557" s="190"/>
      <c r="G557" s="190"/>
    </row>
    <row r="558" spans="1:7" ht="17.25" customHeight="1">
      <c r="A558" s="301" t="s">
        <v>216</v>
      </c>
      <c r="B558" s="302"/>
      <c r="C558" s="303"/>
      <c r="D558" s="40"/>
      <c r="E558" s="39"/>
      <c r="F558" s="190"/>
      <c r="G558" s="190"/>
    </row>
    <row r="559" spans="1:7" ht="17.25" customHeight="1">
      <c r="A559" s="214">
        <v>441</v>
      </c>
      <c r="B559" s="280">
        <v>1</v>
      </c>
      <c r="C559" s="280" t="s">
        <v>227</v>
      </c>
      <c r="D559" s="280" t="s">
        <v>326</v>
      </c>
      <c r="E559" s="280">
        <v>104</v>
      </c>
      <c r="F559" s="190"/>
      <c r="G559" s="190"/>
    </row>
    <row r="560" spans="1:7" ht="17.25" customHeight="1">
      <c r="A560" s="214">
        <v>442</v>
      </c>
      <c r="B560" s="280">
        <v>1</v>
      </c>
      <c r="C560" s="274" t="s">
        <v>231</v>
      </c>
      <c r="D560" s="280" t="s">
        <v>326</v>
      </c>
      <c r="E560" s="280">
        <v>124</v>
      </c>
      <c r="F560" s="190"/>
      <c r="G560" s="190"/>
    </row>
    <row r="561" spans="1:7" ht="17.25" customHeight="1">
      <c r="A561" s="214">
        <v>442</v>
      </c>
      <c r="B561" s="280">
        <v>1</v>
      </c>
      <c r="C561" s="274" t="s">
        <v>242</v>
      </c>
      <c r="D561" s="280" t="s">
        <v>638</v>
      </c>
      <c r="E561" s="280">
        <v>321</v>
      </c>
      <c r="F561" s="190"/>
      <c r="G561" s="190"/>
    </row>
    <row r="562" spans="1:7" ht="30" customHeight="1">
      <c r="A562" s="214">
        <v>443</v>
      </c>
      <c r="B562" s="280">
        <v>25</v>
      </c>
      <c r="C562" s="274" t="s">
        <v>231</v>
      </c>
      <c r="D562" s="280" t="s">
        <v>639</v>
      </c>
      <c r="E562" s="280">
        <v>3179</v>
      </c>
      <c r="F562" s="190"/>
      <c r="G562" s="190"/>
    </row>
    <row r="563" spans="1:7" ht="17.25" customHeight="1">
      <c r="A563" s="214" t="s">
        <v>640</v>
      </c>
      <c r="B563" s="280">
        <v>25</v>
      </c>
      <c r="C563" s="274" t="s">
        <v>231</v>
      </c>
      <c r="D563" s="280" t="s">
        <v>641</v>
      </c>
      <c r="E563" s="280">
        <v>3206</v>
      </c>
      <c r="F563" s="190"/>
      <c r="G563" s="190"/>
    </row>
    <row r="564" spans="1:7" ht="27.75" customHeight="1">
      <c r="A564" s="275" t="s">
        <v>642</v>
      </c>
      <c r="B564" s="281">
        <v>25</v>
      </c>
      <c r="C564" s="278" t="s">
        <v>231</v>
      </c>
      <c r="D564" s="283" t="s">
        <v>643</v>
      </c>
      <c r="E564" s="281">
        <v>3236</v>
      </c>
      <c r="F564" s="190"/>
      <c r="G564" s="190"/>
    </row>
    <row r="565" spans="1:7" ht="17.25" customHeight="1">
      <c r="A565" s="275">
        <v>440</v>
      </c>
      <c r="B565" s="281">
        <v>6</v>
      </c>
      <c r="C565" s="281" t="s">
        <v>227</v>
      </c>
      <c r="D565" s="156" t="s">
        <v>497</v>
      </c>
      <c r="E565" s="284">
        <v>540</v>
      </c>
      <c r="F565" s="190"/>
      <c r="G565" s="190"/>
    </row>
    <row r="566" spans="1:7" ht="17.25" customHeight="1">
      <c r="A566" s="40"/>
      <c r="B566" s="270">
        <f>SUM(B559:B565)</f>
        <v>84</v>
      </c>
      <c r="C566" s="270"/>
      <c r="D566" s="270"/>
      <c r="E566" s="270">
        <f>SUM(E559:E565)</f>
        <v>10710</v>
      </c>
      <c r="F566" s="190"/>
      <c r="G566" s="190"/>
    </row>
    <row r="567" spans="1:7" ht="17.25" customHeight="1">
      <c r="A567" s="301" t="s">
        <v>228</v>
      </c>
      <c r="B567" s="302"/>
      <c r="C567" s="303"/>
      <c r="D567" s="270"/>
      <c r="E567" s="270"/>
      <c r="F567" s="190"/>
      <c r="G567" s="190"/>
    </row>
    <row r="568" spans="1:7" ht="17.25" customHeight="1">
      <c r="A568" s="275">
        <v>444</v>
      </c>
      <c r="B568" s="281">
        <v>1</v>
      </c>
      <c r="C568" s="281" t="s">
        <v>224</v>
      </c>
      <c r="D568" s="282" t="s">
        <v>325</v>
      </c>
      <c r="E568" s="281">
        <v>61</v>
      </c>
      <c r="F568" s="190"/>
      <c r="G568" s="190"/>
    </row>
    <row r="569" spans="1:7" ht="17.25" customHeight="1">
      <c r="A569" s="40"/>
      <c r="B569" s="270">
        <f>B568</f>
        <v>1</v>
      </c>
      <c r="C569" s="270"/>
      <c r="D569" s="270"/>
      <c r="E569" s="270">
        <f>E568</f>
        <v>61</v>
      </c>
      <c r="F569" s="190"/>
      <c r="G569" s="190"/>
    </row>
    <row r="570" spans="1:7" ht="17.25" customHeight="1">
      <c r="A570" s="270" t="s">
        <v>14</v>
      </c>
      <c r="B570" s="125">
        <f>B557+B566+B569</f>
        <v>96</v>
      </c>
      <c r="C570" s="125"/>
      <c r="D570" s="125"/>
      <c r="E570" s="125">
        <f>E557+E566+E569</f>
        <v>12074</v>
      </c>
      <c r="F570" s="190"/>
      <c r="G570" s="190"/>
    </row>
    <row r="571" spans="1:7" ht="17.25" customHeight="1">
      <c r="A571" s="271"/>
      <c r="B571" s="126"/>
      <c r="C571" s="127"/>
      <c r="D571" s="125"/>
      <c r="E571" s="125"/>
      <c r="F571" s="190"/>
      <c r="G571" s="190"/>
    </row>
    <row r="572" spans="1:7" ht="29.25" customHeight="1">
      <c r="A572" s="304" t="s">
        <v>655</v>
      </c>
      <c r="B572" s="305"/>
      <c r="C572" s="305"/>
      <c r="D572" s="305"/>
      <c r="E572" s="305"/>
      <c r="F572" s="190"/>
      <c r="G572" s="190"/>
    </row>
    <row r="573" spans="1:7" ht="27" customHeight="1">
      <c r="A573" s="40" t="s">
        <v>211</v>
      </c>
      <c r="B573" s="40" t="s">
        <v>212</v>
      </c>
      <c r="C573" s="40" t="s">
        <v>213</v>
      </c>
      <c r="D573" s="40" t="s">
        <v>214</v>
      </c>
      <c r="E573" s="39" t="s">
        <v>215</v>
      </c>
      <c r="F573" s="190"/>
      <c r="G573" s="190"/>
    </row>
    <row r="574" spans="1:7" ht="17.25" customHeight="1">
      <c r="A574" s="301" t="s">
        <v>222</v>
      </c>
      <c r="B574" s="302"/>
      <c r="C574" s="303"/>
      <c r="D574" s="40"/>
      <c r="E574" s="39"/>
      <c r="F574" s="190"/>
      <c r="G574" s="190"/>
    </row>
    <row r="575" spans="1:7" ht="17.25" customHeight="1">
      <c r="A575" s="34" t="s">
        <v>688</v>
      </c>
      <c r="B575" s="275">
        <v>6</v>
      </c>
      <c r="C575" s="275" t="s">
        <v>223</v>
      </c>
      <c r="D575" s="276" t="s">
        <v>644</v>
      </c>
      <c r="E575" s="287">
        <v>373</v>
      </c>
      <c r="F575" s="190"/>
      <c r="G575" s="190"/>
    </row>
    <row r="576" spans="1:7" ht="17.25" customHeight="1">
      <c r="A576" s="214" t="s">
        <v>689</v>
      </c>
      <c r="B576" s="214">
        <v>6</v>
      </c>
      <c r="C576" s="214" t="s">
        <v>224</v>
      </c>
      <c r="D576" s="214" t="s">
        <v>645</v>
      </c>
      <c r="E576" s="214">
        <v>468</v>
      </c>
      <c r="F576" s="190"/>
      <c r="G576" s="190"/>
    </row>
    <row r="577" spans="1:7" ht="17.25" customHeight="1">
      <c r="A577" s="214" t="s">
        <v>690</v>
      </c>
      <c r="B577" s="214">
        <v>1</v>
      </c>
      <c r="C577" s="214" t="s">
        <v>227</v>
      </c>
      <c r="D577" s="214" t="s">
        <v>646</v>
      </c>
      <c r="E577" s="214">
        <v>109</v>
      </c>
      <c r="F577" s="190"/>
      <c r="G577" s="190"/>
    </row>
    <row r="578" spans="1:7" ht="17.25" customHeight="1">
      <c r="A578" s="40"/>
      <c r="B578" s="272">
        <f>SUM(B575:B577)</f>
        <v>13</v>
      </c>
      <c r="C578" s="272"/>
      <c r="D578" s="272"/>
      <c r="E578" s="272">
        <f>SUM(E575:E577)</f>
        <v>950</v>
      </c>
      <c r="F578" s="190"/>
      <c r="G578" s="190"/>
    </row>
    <row r="579" spans="1:7" ht="17.25" customHeight="1">
      <c r="A579" s="301" t="s">
        <v>216</v>
      </c>
      <c r="B579" s="302"/>
      <c r="C579" s="303"/>
      <c r="D579" s="40"/>
      <c r="E579" s="39"/>
      <c r="F579" s="190"/>
      <c r="G579" s="190"/>
    </row>
    <row r="580" spans="1:7" ht="17.25" customHeight="1">
      <c r="A580" s="214" t="s">
        <v>691</v>
      </c>
      <c r="B580" s="275">
        <v>5</v>
      </c>
      <c r="C580" s="214" t="s">
        <v>223</v>
      </c>
      <c r="D580" s="275" t="s">
        <v>647</v>
      </c>
      <c r="E580" s="214">
        <v>258</v>
      </c>
      <c r="F580" s="190"/>
      <c r="G580" s="190"/>
    </row>
    <row r="581" spans="1:7" ht="17.25" customHeight="1">
      <c r="A581" s="214" t="s">
        <v>692</v>
      </c>
      <c r="B581" s="214">
        <v>2</v>
      </c>
      <c r="C581" s="274" t="s">
        <v>242</v>
      </c>
      <c r="D581" s="214" t="s">
        <v>648</v>
      </c>
      <c r="E581" s="214">
        <v>640</v>
      </c>
      <c r="F581" s="190"/>
      <c r="G581" s="190"/>
    </row>
    <row r="582" spans="1:7" ht="30.75" customHeight="1">
      <c r="A582" s="214" t="s">
        <v>693</v>
      </c>
      <c r="B582" s="214">
        <v>31</v>
      </c>
      <c r="C582" s="274" t="s">
        <v>649</v>
      </c>
      <c r="D582" s="214" t="s">
        <v>653</v>
      </c>
      <c r="E582" s="214">
        <v>4725</v>
      </c>
      <c r="F582" s="190"/>
      <c r="G582" s="190"/>
    </row>
    <row r="583" spans="1:7" ht="17.25" customHeight="1">
      <c r="A583" s="214" t="s">
        <v>694</v>
      </c>
      <c r="B583" s="214">
        <v>1</v>
      </c>
      <c r="C583" s="214" t="s">
        <v>223</v>
      </c>
      <c r="D583" s="214" t="s">
        <v>651</v>
      </c>
      <c r="E583" s="214">
        <v>52</v>
      </c>
      <c r="F583" s="190"/>
      <c r="G583" s="190"/>
    </row>
    <row r="584" spans="1:7" ht="17.25" customHeight="1">
      <c r="A584" s="214" t="s">
        <v>695</v>
      </c>
      <c r="B584" s="214">
        <v>2</v>
      </c>
      <c r="C584" s="214" t="s">
        <v>224</v>
      </c>
      <c r="D584" s="214" t="s">
        <v>652</v>
      </c>
      <c r="E584" s="214">
        <v>104</v>
      </c>
      <c r="F584" s="190"/>
      <c r="G584" s="190"/>
    </row>
    <row r="585" spans="1:7" ht="17.25" customHeight="1">
      <c r="A585" s="40"/>
      <c r="B585" s="272">
        <f>SUM(B580:B584)</f>
        <v>41</v>
      </c>
      <c r="C585" s="272"/>
      <c r="D585" s="272"/>
      <c r="E585" s="272">
        <f>SUM(E580:E584)</f>
        <v>5779</v>
      </c>
      <c r="F585" s="190"/>
      <c r="G585" s="190"/>
    </row>
    <row r="586" spans="1:7" ht="17.25" customHeight="1">
      <c r="A586" s="301" t="s">
        <v>228</v>
      </c>
      <c r="B586" s="302"/>
      <c r="C586" s="303"/>
      <c r="D586" s="272"/>
      <c r="E586" s="272"/>
      <c r="F586" s="190"/>
      <c r="G586" s="190"/>
    </row>
    <row r="587" spans="1:7" ht="17.25" customHeight="1">
      <c r="A587" s="214" t="s">
        <v>696</v>
      </c>
      <c r="B587" s="275">
        <v>4</v>
      </c>
      <c r="C587" s="275" t="s">
        <v>224</v>
      </c>
      <c r="D587" s="275" t="s">
        <v>650</v>
      </c>
      <c r="E587" s="214">
        <v>252</v>
      </c>
      <c r="F587" s="190"/>
      <c r="G587" s="190"/>
    </row>
    <row r="588" spans="1:7" ht="17.25" customHeight="1">
      <c r="A588" s="40"/>
      <c r="B588" s="272">
        <f>B587</f>
        <v>4</v>
      </c>
      <c r="C588" s="272"/>
      <c r="D588" s="272"/>
      <c r="E588" s="272">
        <f>E587</f>
        <v>252</v>
      </c>
      <c r="F588" s="190"/>
      <c r="G588" s="190"/>
    </row>
    <row r="589" spans="1:7" ht="17.25" customHeight="1">
      <c r="A589" s="272" t="s">
        <v>14</v>
      </c>
      <c r="B589" s="125">
        <f>B578+B585+B588</f>
        <v>58</v>
      </c>
      <c r="C589" s="125"/>
      <c r="D589" s="125"/>
      <c r="E589" s="125">
        <f>E578+E585+E588</f>
        <v>6981</v>
      </c>
      <c r="F589" s="190"/>
      <c r="G589" s="190"/>
    </row>
    <row r="590" spans="1:7" ht="17.25" customHeight="1">
      <c r="A590" s="271"/>
      <c r="B590" s="126"/>
      <c r="C590" s="127"/>
      <c r="D590" s="125"/>
      <c r="E590" s="125"/>
      <c r="F590" s="190"/>
      <c r="G590" s="190"/>
    </row>
    <row r="591" spans="1:7" ht="30" customHeight="1">
      <c r="A591" s="304" t="s">
        <v>656</v>
      </c>
      <c r="B591" s="305"/>
      <c r="C591" s="305"/>
      <c r="D591" s="305"/>
      <c r="E591" s="305"/>
      <c r="F591" s="190"/>
      <c r="G591" s="190"/>
    </row>
    <row r="592" spans="1:7" ht="26.25" customHeight="1">
      <c r="A592" s="40" t="s">
        <v>211</v>
      </c>
      <c r="B592" s="40" t="s">
        <v>212</v>
      </c>
      <c r="C592" s="40" t="s">
        <v>213</v>
      </c>
      <c r="D592" s="40" t="s">
        <v>214</v>
      </c>
      <c r="E592" s="39" t="s">
        <v>215</v>
      </c>
      <c r="F592" s="190"/>
      <c r="G592" s="190"/>
    </row>
    <row r="593" spans="1:7" ht="17.25" customHeight="1">
      <c r="A593" s="301" t="s">
        <v>216</v>
      </c>
      <c r="B593" s="302"/>
      <c r="C593" s="303"/>
      <c r="D593" s="40"/>
      <c r="E593" s="39"/>
      <c r="F593" s="190"/>
      <c r="G593" s="190"/>
    </row>
    <row r="594" spans="1:7" ht="17.25" customHeight="1">
      <c r="A594" s="387">
        <v>1305</v>
      </c>
      <c r="B594" s="275">
        <v>19</v>
      </c>
      <c r="C594" s="214" t="s">
        <v>217</v>
      </c>
      <c r="D594" s="244" t="s">
        <v>359</v>
      </c>
      <c r="E594" s="275">
        <v>1069</v>
      </c>
      <c r="F594" s="190"/>
      <c r="G594" s="190"/>
    </row>
    <row r="595" spans="1:7" ht="17.25" customHeight="1">
      <c r="A595" s="388">
        <v>1306</v>
      </c>
      <c r="B595" s="276">
        <v>4</v>
      </c>
      <c r="C595" s="214" t="s">
        <v>236</v>
      </c>
      <c r="D595" s="244" t="s">
        <v>486</v>
      </c>
      <c r="E595" s="276">
        <v>416</v>
      </c>
      <c r="F595" s="190"/>
      <c r="G595" s="190"/>
    </row>
    <row r="596" spans="1:7" ht="17.25" customHeight="1">
      <c r="A596" s="388">
        <v>1307</v>
      </c>
      <c r="B596" s="276">
        <v>3</v>
      </c>
      <c r="C596" s="214" t="s">
        <v>235</v>
      </c>
      <c r="D596" s="244" t="s">
        <v>238</v>
      </c>
      <c r="E596" s="276">
        <v>111</v>
      </c>
      <c r="F596" s="190"/>
      <c r="G596" s="190"/>
    </row>
    <row r="597" spans="1:7" ht="17.25" customHeight="1">
      <c r="A597" s="40"/>
      <c r="B597" s="300">
        <f>SUM(B594:B596)</f>
        <v>26</v>
      </c>
      <c r="C597" s="300"/>
      <c r="D597" s="272"/>
      <c r="E597" s="272">
        <f>SUM(E594:E596)</f>
        <v>1596</v>
      </c>
      <c r="F597" s="190"/>
      <c r="G597" s="190"/>
    </row>
    <row r="598" spans="1:7" ht="17.25" customHeight="1">
      <c r="A598" s="301" t="s">
        <v>229</v>
      </c>
      <c r="B598" s="302"/>
      <c r="C598" s="303"/>
      <c r="D598" s="272"/>
      <c r="E598" s="272"/>
      <c r="F598" s="190"/>
      <c r="G598" s="190"/>
    </row>
    <row r="599" spans="1:7" ht="17.25" customHeight="1">
      <c r="A599" s="388">
        <v>1308</v>
      </c>
      <c r="B599" s="276">
        <v>4</v>
      </c>
      <c r="C599" s="214" t="s">
        <v>217</v>
      </c>
      <c r="D599" s="244" t="s">
        <v>486</v>
      </c>
      <c r="E599" s="276">
        <v>75</v>
      </c>
      <c r="F599" s="190"/>
      <c r="G599" s="190"/>
    </row>
    <row r="600" spans="1:7" ht="17.25" customHeight="1">
      <c r="A600" s="40"/>
      <c r="B600" s="272">
        <f>B599</f>
        <v>4</v>
      </c>
      <c r="C600" s="272"/>
      <c r="D600" s="272"/>
      <c r="E600" s="272">
        <f>E599</f>
        <v>75</v>
      </c>
      <c r="F600" s="190"/>
      <c r="G600" s="190"/>
    </row>
    <row r="601" spans="1:7" ht="17.25" customHeight="1">
      <c r="A601" s="272" t="s">
        <v>14</v>
      </c>
      <c r="B601" s="125">
        <f>B597+B600</f>
        <v>30</v>
      </c>
      <c r="C601" s="125"/>
      <c r="D601" s="125"/>
      <c r="E601" s="125">
        <f>E597+E600</f>
        <v>1671</v>
      </c>
      <c r="F601" s="190"/>
      <c r="G601" s="190"/>
    </row>
    <row r="602" spans="1:7" ht="17.25" customHeight="1">
      <c r="A602" s="273"/>
      <c r="B602" s="126"/>
      <c r="C602" s="127"/>
      <c r="D602" s="125"/>
      <c r="E602" s="125"/>
      <c r="F602" s="190"/>
      <c r="G602" s="190"/>
    </row>
    <row r="603" spans="1:7" ht="27" customHeight="1">
      <c r="A603" s="304" t="s">
        <v>660</v>
      </c>
      <c r="B603" s="305"/>
      <c r="C603" s="305"/>
      <c r="D603" s="305"/>
      <c r="E603" s="305"/>
      <c r="F603" s="190"/>
      <c r="G603" s="190"/>
    </row>
    <row r="604" spans="1:7" ht="24.75" customHeight="1">
      <c r="A604" s="40" t="s">
        <v>211</v>
      </c>
      <c r="B604" s="40" t="s">
        <v>212</v>
      </c>
      <c r="C604" s="40" t="s">
        <v>213</v>
      </c>
      <c r="D604" s="40" t="s">
        <v>214</v>
      </c>
      <c r="E604" s="39" t="s">
        <v>215</v>
      </c>
      <c r="F604" s="190"/>
      <c r="G604" s="190"/>
    </row>
    <row r="605" spans="1:7" ht="18.75" customHeight="1">
      <c r="A605" s="301" t="s">
        <v>222</v>
      </c>
      <c r="B605" s="302"/>
      <c r="C605" s="303"/>
      <c r="D605" s="40"/>
      <c r="E605" s="39"/>
      <c r="F605" s="190"/>
      <c r="G605" s="190"/>
    </row>
    <row r="606" spans="1:7" ht="17.25" customHeight="1">
      <c r="A606" s="214">
        <v>1031</v>
      </c>
      <c r="B606" s="288">
        <v>1</v>
      </c>
      <c r="C606" s="288" t="s">
        <v>224</v>
      </c>
      <c r="D606" s="288" t="s">
        <v>657</v>
      </c>
      <c r="E606" s="244">
        <v>72</v>
      </c>
      <c r="F606" s="190"/>
      <c r="G606" s="190"/>
    </row>
    <row r="607" spans="1:7" ht="17.25" customHeight="1">
      <c r="A607" s="214">
        <v>1032</v>
      </c>
      <c r="B607" s="288">
        <v>11</v>
      </c>
      <c r="C607" s="244" t="s">
        <v>236</v>
      </c>
      <c r="D607" s="214" t="s">
        <v>658</v>
      </c>
      <c r="E607" s="244">
        <v>1156</v>
      </c>
      <c r="F607" s="190"/>
      <c r="G607" s="190"/>
    </row>
    <row r="608" spans="1:7" ht="17.25" customHeight="1">
      <c r="A608" s="40"/>
      <c r="B608" s="272">
        <f>SUM(B606:B607)</f>
        <v>12</v>
      </c>
      <c r="C608" s="272"/>
      <c r="D608" s="272"/>
      <c r="E608" s="272">
        <f>SUM(E606:E607)</f>
        <v>1228</v>
      </c>
      <c r="F608" s="190"/>
      <c r="G608" s="190"/>
    </row>
    <row r="609" spans="1:7" ht="17.25" customHeight="1">
      <c r="A609" s="301" t="s">
        <v>216</v>
      </c>
      <c r="B609" s="302"/>
      <c r="C609" s="303"/>
      <c r="D609" s="272"/>
      <c r="E609" s="272"/>
      <c r="F609" s="190"/>
      <c r="G609" s="190"/>
    </row>
    <row r="610" spans="1:7" ht="17.25" customHeight="1">
      <c r="A610" s="287">
        <v>1034</v>
      </c>
      <c r="B610" s="276">
        <v>2</v>
      </c>
      <c r="C610" s="287" t="s">
        <v>235</v>
      </c>
      <c r="D610" s="244" t="s">
        <v>294</v>
      </c>
      <c r="E610" s="277">
        <v>70</v>
      </c>
      <c r="F610" s="190"/>
      <c r="G610" s="190"/>
    </row>
    <row r="611" spans="1:7" ht="17.25" customHeight="1">
      <c r="A611" s="287">
        <v>1035</v>
      </c>
      <c r="B611" s="276">
        <v>1</v>
      </c>
      <c r="C611" s="287" t="s">
        <v>235</v>
      </c>
      <c r="D611" s="244" t="s">
        <v>237</v>
      </c>
      <c r="E611" s="277">
        <v>34</v>
      </c>
      <c r="F611" s="190"/>
      <c r="G611" s="190"/>
    </row>
    <row r="612" spans="1:7" ht="17.25" customHeight="1">
      <c r="A612" s="287">
        <v>1036</v>
      </c>
      <c r="B612" s="276">
        <v>20</v>
      </c>
      <c r="C612" s="287" t="s">
        <v>217</v>
      </c>
      <c r="D612" s="244" t="s">
        <v>485</v>
      </c>
      <c r="E612" s="277">
        <v>1684</v>
      </c>
      <c r="F612" s="190"/>
      <c r="G612" s="190"/>
    </row>
    <row r="613" spans="1:7" ht="17.25" customHeight="1">
      <c r="A613" s="287">
        <v>1037</v>
      </c>
      <c r="B613" s="276">
        <v>19</v>
      </c>
      <c r="C613" s="287" t="s">
        <v>217</v>
      </c>
      <c r="D613" s="244" t="s">
        <v>359</v>
      </c>
      <c r="E613" s="277">
        <v>1692</v>
      </c>
      <c r="F613" s="190"/>
      <c r="G613" s="190"/>
    </row>
    <row r="614" spans="1:7" ht="17.25" customHeight="1">
      <c r="A614" s="287">
        <v>1038</v>
      </c>
      <c r="B614" s="276">
        <v>1</v>
      </c>
      <c r="C614" s="287" t="s">
        <v>227</v>
      </c>
      <c r="D614" s="244" t="s">
        <v>237</v>
      </c>
      <c r="E614" s="277">
        <v>90</v>
      </c>
      <c r="F614" s="190"/>
      <c r="G614" s="190"/>
    </row>
    <row r="615" spans="1:7" ht="21" customHeight="1">
      <c r="A615" s="214">
        <v>1039</v>
      </c>
      <c r="B615" s="275">
        <v>10</v>
      </c>
      <c r="C615" s="274" t="s">
        <v>360</v>
      </c>
      <c r="D615" s="214" t="s">
        <v>659</v>
      </c>
      <c r="E615" s="214">
        <v>1772</v>
      </c>
      <c r="F615" s="190"/>
      <c r="G615" s="190"/>
    </row>
    <row r="616" spans="1:7" ht="17.25" customHeight="1">
      <c r="A616" s="22"/>
      <c r="B616" s="289">
        <f>SUM(B610:B615)</f>
        <v>53</v>
      </c>
      <c r="C616" s="289"/>
      <c r="D616" s="289"/>
      <c r="E616" s="289">
        <f>SUM(E610:E615)</f>
        <v>5342</v>
      </c>
      <c r="F616" s="190"/>
      <c r="G616" s="190"/>
    </row>
    <row r="617" spans="1:7" ht="17.25" customHeight="1">
      <c r="A617" s="301" t="s">
        <v>229</v>
      </c>
      <c r="B617" s="302"/>
      <c r="C617" s="303"/>
      <c r="D617" s="272"/>
      <c r="E617" s="272"/>
      <c r="F617" s="190"/>
      <c r="G617" s="190"/>
    </row>
    <row r="618" spans="1:7" ht="17.25" customHeight="1">
      <c r="A618" s="287">
        <v>1033</v>
      </c>
      <c r="B618" s="276">
        <v>1</v>
      </c>
      <c r="C618" s="287" t="s">
        <v>224</v>
      </c>
      <c r="D618" s="244" t="s">
        <v>237</v>
      </c>
      <c r="E618" s="277">
        <v>45</v>
      </c>
      <c r="F618" s="190"/>
      <c r="G618" s="190"/>
    </row>
    <row r="619" spans="1:7" ht="17.25" customHeight="1">
      <c r="A619" s="40"/>
      <c r="B619" s="272">
        <f>B618</f>
        <v>1</v>
      </c>
      <c r="C619" s="272"/>
      <c r="D619" s="272"/>
      <c r="E619" s="272">
        <f>E618</f>
        <v>45</v>
      </c>
      <c r="F619" s="190"/>
      <c r="G619" s="190"/>
    </row>
    <row r="620" spans="1:7" ht="17.25" customHeight="1">
      <c r="A620" s="272" t="s">
        <v>14</v>
      </c>
      <c r="B620" s="125">
        <f>B608+B619+B616</f>
        <v>66</v>
      </c>
      <c r="C620" s="125"/>
      <c r="D620" s="125"/>
      <c r="E620" s="125">
        <f>E608+E619+E616</f>
        <v>6615</v>
      </c>
      <c r="F620" s="190"/>
      <c r="G620" s="190"/>
    </row>
    <row r="621" spans="1:7" ht="17.25" customHeight="1">
      <c r="A621" s="273"/>
      <c r="B621" s="126"/>
      <c r="C621" s="127"/>
      <c r="D621" s="125"/>
      <c r="E621" s="125"/>
      <c r="F621" s="190"/>
      <c r="G621" s="190"/>
    </row>
    <row r="622" spans="1:7" ht="30" customHeight="1">
      <c r="A622" s="304" t="s">
        <v>665</v>
      </c>
      <c r="B622" s="305"/>
      <c r="C622" s="305"/>
      <c r="D622" s="305"/>
      <c r="E622" s="305"/>
      <c r="F622" s="190"/>
      <c r="G622" s="190"/>
    </row>
    <row r="623" spans="1:7" ht="26.25" customHeight="1">
      <c r="A623" s="40" t="s">
        <v>211</v>
      </c>
      <c r="B623" s="40" t="s">
        <v>212</v>
      </c>
      <c r="C623" s="40" t="s">
        <v>213</v>
      </c>
      <c r="D623" s="40" t="s">
        <v>214</v>
      </c>
      <c r="E623" s="39" t="s">
        <v>215</v>
      </c>
      <c r="F623" s="190"/>
      <c r="G623" s="190"/>
    </row>
    <row r="624" spans="1:7" ht="17.25" customHeight="1">
      <c r="A624" s="301" t="s">
        <v>222</v>
      </c>
      <c r="B624" s="302"/>
      <c r="C624" s="303"/>
      <c r="D624" s="40"/>
      <c r="E624" s="39"/>
      <c r="F624" s="190"/>
      <c r="G624" s="190"/>
    </row>
    <row r="625" spans="1:7" ht="17.25" customHeight="1">
      <c r="A625" s="385">
        <v>126</v>
      </c>
      <c r="B625" s="290">
        <v>3</v>
      </c>
      <c r="C625" s="291" t="s">
        <v>217</v>
      </c>
      <c r="D625" s="244" t="s">
        <v>661</v>
      </c>
      <c r="E625" s="288">
        <v>235</v>
      </c>
      <c r="F625" s="190"/>
      <c r="G625" s="190"/>
    </row>
    <row r="626" spans="1:7" ht="17.25" customHeight="1">
      <c r="A626" s="290">
        <v>127</v>
      </c>
      <c r="B626" s="290">
        <v>1</v>
      </c>
      <c r="C626" s="291" t="s">
        <v>236</v>
      </c>
      <c r="D626" s="292" t="s">
        <v>662</v>
      </c>
      <c r="E626" s="291">
        <v>90</v>
      </c>
      <c r="F626" s="190"/>
      <c r="G626" s="190"/>
    </row>
    <row r="627" spans="1:7" ht="17.25" customHeight="1">
      <c r="A627" s="386">
        <v>131</v>
      </c>
      <c r="B627" s="191">
        <v>4</v>
      </c>
      <c r="C627" s="293" t="s">
        <v>223</v>
      </c>
      <c r="D627" s="156" t="s">
        <v>663</v>
      </c>
      <c r="E627" s="156">
        <v>210</v>
      </c>
      <c r="F627" s="190"/>
      <c r="G627" s="190"/>
    </row>
    <row r="628" spans="1:7" ht="17.25" customHeight="1">
      <c r="A628" s="40"/>
      <c r="B628" s="272">
        <f>SUM(B625:B627)</f>
        <v>8</v>
      </c>
      <c r="C628" s="272"/>
      <c r="D628" s="272"/>
      <c r="E628" s="272">
        <f>SUM(E625:E627)</f>
        <v>535</v>
      </c>
      <c r="F628" s="190"/>
      <c r="G628" s="190"/>
    </row>
    <row r="629" spans="1:7" ht="17.25" customHeight="1">
      <c r="A629" s="301" t="s">
        <v>216</v>
      </c>
      <c r="B629" s="302"/>
      <c r="C629" s="303"/>
      <c r="D629" s="272"/>
      <c r="E629" s="272"/>
      <c r="F629" s="190"/>
      <c r="G629" s="190"/>
    </row>
    <row r="630" spans="1:7" ht="17.25" customHeight="1">
      <c r="A630" s="386">
        <v>132</v>
      </c>
      <c r="B630" s="191">
        <v>9</v>
      </c>
      <c r="C630" s="298" t="s">
        <v>379</v>
      </c>
      <c r="D630" s="296" t="s">
        <v>664</v>
      </c>
      <c r="E630" s="288">
        <v>1266</v>
      </c>
      <c r="F630" s="190"/>
      <c r="G630" s="190"/>
    </row>
    <row r="631" spans="1:7" ht="17.25" customHeight="1">
      <c r="A631" s="386">
        <v>128</v>
      </c>
      <c r="B631" s="191">
        <v>18</v>
      </c>
      <c r="C631" s="293" t="s">
        <v>217</v>
      </c>
      <c r="D631" s="294" t="s">
        <v>226</v>
      </c>
      <c r="E631" s="295">
        <v>836</v>
      </c>
      <c r="F631" s="190"/>
      <c r="G631" s="190"/>
    </row>
    <row r="632" spans="1:7" ht="17.25" customHeight="1">
      <c r="A632" s="386">
        <v>130</v>
      </c>
      <c r="B632" s="191">
        <v>4</v>
      </c>
      <c r="C632" s="297" t="s">
        <v>235</v>
      </c>
      <c r="D632" s="294" t="s">
        <v>486</v>
      </c>
      <c r="E632" s="295">
        <v>132</v>
      </c>
      <c r="F632" s="190"/>
      <c r="G632" s="190"/>
    </row>
    <row r="633" spans="1:7" ht="17.25" customHeight="1">
      <c r="A633" s="22"/>
      <c r="B633" s="289">
        <f>SUM(B630:B632)</f>
        <v>31</v>
      </c>
      <c r="C633" s="289"/>
      <c r="D633" s="289"/>
      <c r="E633" s="289">
        <f>SUM(E630:E632)</f>
        <v>2234</v>
      </c>
      <c r="F633" s="190"/>
      <c r="G633" s="190"/>
    </row>
    <row r="634" spans="1:7" ht="17.25" customHeight="1">
      <c r="A634" s="301" t="s">
        <v>229</v>
      </c>
      <c r="B634" s="302"/>
      <c r="C634" s="303"/>
      <c r="D634" s="289"/>
      <c r="E634" s="289"/>
      <c r="F634" s="190"/>
      <c r="G634" s="190"/>
    </row>
    <row r="635" spans="1:7" ht="17.25" customHeight="1">
      <c r="A635" s="386">
        <v>129</v>
      </c>
      <c r="B635" s="191">
        <v>1</v>
      </c>
      <c r="C635" s="297" t="s">
        <v>217</v>
      </c>
      <c r="D635" s="294" t="s">
        <v>237</v>
      </c>
      <c r="E635" s="295">
        <v>35</v>
      </c>
      <c r="F635" s="190"/>
      <c r="G635" s="190"/>
    </row>
    <row r="636" spans="1:7" ht="17.25" customHeight="1">
      <c r="A636" s="22"/>
      <c r="B636" s="289">
        <f>B635</f>
        <v>1</v>
      </c>
      <c r="C636" s="289"/>
      <c r="D636" s="289"/>
      <c r="E636" s="289">
        <f>E635</f>
        <v>35</v>
      </c>
      <c r="F636" s="190"/>
      <c r="G636" s="190"/>
    </row>
    <row r="637" spans="1:7" ht="17.25" customHeight="1">
      <c r="A637" s="272" t="s">
        <v>14</v>
      </c>
      <c r="B637" s="125">
        <f>B628+B633+B636</f>
        <v>40</v>
      </c>
      <c r="C637" s="125"/>
      <c r="D637" s="125"/>
      <c r="E637" s="125">
        <f>E628+E633+E636</f>
        <v>2804</v>
      </c>
      <c r="F637" s="190"/>
      <c r="G637" s="190"/>
    </row>
    <row r="638" spans="1:7" ht="17.25" customHeight="1">
      <c r="A638" s="286"/>
      <c r="B638" s="126"/>
      <c r="C638" s="127"/>
      <c r="D638" s="125"/>
      <c r="E638" s="125"/>
      <c r="F638" s="190"/>
      <c r="G638" s="190"/>
    </row>
    <row r="639" spans="1:7" ht="30.75" customHeight="1">
      <c r="A639" s="304" t="s">
        <v>682</v>
      </c>
      <c r="B639" s="305"/>
      <c r="C639" s="305"/>
      <c r="D639" s="305"/>
      <c r="E639" s="305"/>
      <c r="F639" s="190"/>
      <c r="G639" s="190"/>
    </row>
    <row r="640" spans="1:7" ht="22.5" customHeight="1">
      <c r="A640" s="40" t="s">
        <v>211</v>
      </c>
      <c r="B640" s="40" t="s">
        <v>212</v>
      </c>
      <c r="C640" s="40" t="s">
        <v>213</v>
      </c>
      <c r="D640" s="40" t="s">
        <v>214</v>
      </c>
      <c r="E640" s="39" t="s">
        <v>215</v>
      </c>
      <c r="F640" s="190"/>
      <c r="G640" s="190"/>
    </row>
    <row r="641" spans="1:7" ht="17.25" customHeight="1">
      <c r="A641" s="301" t="s">
        <v>222</v>
      </c>
      <c r="B641" s="302"/>
      <c r="C641" s="303"/>
      <c r="D641" s="40"/>
      <c r="E641" s="39"/>
      <c r="F641" s="190"/>
      <c r="G641" s="190"/>
    </row>
    <row r="642" spans="1:7" ht="26.25" customHeight="1">
      <c r="A642" s="275" t="s">
        <v>666</v>
      </c>
      <c r="B642" s="288">
        <v>14</v>
      </c>
      <c r="C642" s="288" t="s">
        <v>223</v>
      </c>
      <c r="D642" s="244" t="s">
        <v>667</v>
      </c>
      <c r="E642" s="288">
        <v>817.9</v>
      </c>
      <c r="F642" s="190"/>
      <c r="G642" s="190"/>
    </row>
    <row r="643" spans="1:7" ht="17.25" customHeight="1">
      <c r="A643" s="275" t="s">
        <v>668</v>
      </c>
      <c r="B643" s="288">
        <v>1</v>
      </c>
      <c r="C643" s="288" t="s">
        <v>227</v>
      </c>
      <c r="D643" s="244" t="s">
        <v>669</v>
      </c>
      <c r="E643" s="288">
        <v>108</v>
      </c>
      <c r="F643" s="190"/>
      <c r="G643" s="190"/>
    </row>
    <row r="644" spans="1:7" ht="17.25" customHeight="1">
      <c r="A644" s="275" t="s">
        <v>670</v>
      </c>
      <c r="B644" s="288">
        <v>5</v>
      </c>
      <c r="C644" s="244" t="s">
        <v>217</v>
      </c>
      <c r="D644" s="244" t="s">
        <v>671</v>
      </c>
      <c r="E644" s="288">
        <v>389</v>
      </c>
      <c r="F644" s="190"/>
      <c r="G644" s="190"/>
    </row>
    <row r="645" spans="1:7" ht="17.25" customHeight="1">
      <c r="A645" s="40"/>
      <c r="B645" s="285">
        <f>SUM(B642:B644)</f>
        <v>20</v>
      </c>
      <c r="C645" s="285"/>
      <c r="D645" s="285"/>
      <c r="E645" s="285">
        <f>SUM(E642:E644)</f>
        <v>1314.9</v>
      </c>
      <c r="F645" s="190"/>
      <c r="G645" s="190"/>
    </row>
    <row r="646" spans="1:7" ht="17.25" customHeight="1">
      <c r="A646" s="301" t="s">
        <v>216</v>
      </c>
      <c r="B646" s="302"/>
      <c r="C646" s="303"/>
      <c r="D646" s="285"/>
      <c r="E646" s="285"/>
      <c r="F646" s="190"/>
      <c r="G646" s="190"/>
    </row>
    <row r="647" spans="1:7" ht="17.25" customHeight="1">
      <c r="A647" s="275" t="s">
        <v>672</v>
      </c>
      <c r="B647" s="288">
        <v>3</v>
      </c>
      <c r="C647" s="244" t="s">
        <v>472</v>
      </c>
      <c r="D647" s="244" t="s">
        <v>673</v>
      </c>
      <c r="E647" s="288">
        <v>180</v>
      </c>
      <c r="F647" s="190"/>
      <c r="G647" s="190"/>
    </row>
    <row r="648" spans="1:7" ht="17.25" customHeight="1">
      <c r="A648" s="275" t="s">
        <v>674</v>
      </c>
      <c r="B648" s="288">
        <v>1</v>
      </c>
      <c r="C648" s="274" t="s">
        <v>239</v>
      </c>
      <c r="D648" s="214" t="s">
        <v>675</v>
      </c>
      <c r="E648" s="214">
        <v>195</v>
      </c>
      <c r="F648" s="190"/>
      <c r="G648" s="190"/>
    </row>
    <row r="649" spans="1:7" ht="17.25" customHeight="1">
      <c r="A649" s="275" t="s">
        <v>676</v>
      </c>
      <c r="B649" s="275">
        <v>11</v>
      </c>
      <c r="C649" s="274" t="s">
        <v>681</v>
      </c>
      <c r="D649" s="214" t="s">
        <v>677</v>
      </c>
      <c r="E649" s="275">
        <v>1441.4</v>
      </c>
      <c r="F649" s="190"/>
      <c r="G649" s="190"/>
    </row>
    <row r="650" spans="1:7" ht="17.25" customHeight="1">
      <c r="A650" s="275" t="s">
        <v>678</v>
      </c>
      <c r="B650" s="288">
        <v>8</v>
      </c>
      <c r="C650" s="244" t="s">
        <v>472</v>
      </c>
      <c r="D650" s="244" t="s">
        <v>679</v>
      </c>
      <c r="E650" s="288">
        <v>335</v>
      </c>
      <c r="F650" s="190"/>
      <c r="G650" s="190"/>
    </row>
    <row r="651" spans="1:7" ht="17.25" customHeight="1">
      <c r="A651" s="275" t="s">
        <v>680</v>
      </c>
      <c r="B651" s="288">
        <v>8</v>
      </c>
      <c r="C651" s="244" t="s">
        <v>683</v>
      </c>
      <c r="D651" s="244" t="s">
        <v>679</v>
      </c>
      <c r="E651" s="288">
        <v>486</v>
      </c>
      <c r="F651" s="190"/>
      <c r="G651" s="190"/>
    </row>
    <row r="652" spans="1:7" ht="17.25" customHeight="1">
      <c r="A652" s="40"/>
      <c r="B652" s="285">
        <f>SUM(B647:B651)</f>
        <v>31</v>
      </c>
      <c r="C652" s="285"/>
      <c r="D652" s="285"/>
      <c r="E652" s="285">
        <f>SUM(E647:E651)</f>
        <v>2637.4</v>
      </c>
      <c r="F652" s="285">
        <f>SUM(F647:F651)</f>
        <v>0</v>
      </c>
      <c r="G652" s="285">
        <f>SUM(G647:G651)</f>
        <v>0</v>
      </c>
    </row>
    <row r="653" spans="1:7" ht="17.25" customHeight="1">
      <c r="A653" s="285" t="s">
        <v>14</v>
      </c>
      <c r="B653" s="125">
        <f>B645+B652</f>
        <v>51</v>
      </c>
      <c r="C653" s="125"/>
      <c r="D653" s="125"/>
      <c r="E653" s="125">
        <f>E645+E652</f>
        <v>3952.3</v>
      </c>
      <c r="F653" s="190"/>
      <c r="G653" s="190"/>
    </row>
    <row r="654" spans="1:7" ht="17.25" customHeight="1">
      <c r="A654" s="243"/>
      <c r="B654" s="126"/>
      <c r="C654" s="127"/>
      <c r="D654" s="125"/>
      <c r="E654" s="125"/>
      <c r="F654" s="190"/>
      <c r="G654" s="190"/>
    </row>
    <row r="655" spans="1:8" ht="15" customHeight="1">
      <c r="A655" s="321" t="s">
        <v>22</v>
      </c>
      <c r="B655" s="322"/>
      <c r="C655" s="380"/>
      <c r="D655" s="8"/>
      <c r="E655" s="10"/>
      <c r="F655" s="120"/>
      <c r="G655" s="120"/>
      <c r="H655" s="1"/>
    </row>
    <row r="656" spans="1:8" ht="15" customHeight="1">
      <c r="A656" s="39"/>
      <c r="B656" s="129"/>
      <c r="C656" s="130"/>
      <c r="D656" s="43"/>
      <c r="E656" s="44">
        <f>SUM(E658:E661)</f>
        <v>6.209</v>
      </c>
      <c r="H656" s="1"/>
    </row>
    <row r="657" spans="1:18" ht="15" customHeight="1">
      <c r="A657" s="40" t="s">
        <v>5</v>
      </c>
      <c r="B657" s="304" t="s">
        <v>17</v>
      </c>
      <c r="C657" s="307"/>
      <c r="D657" s="128" t="s">
        <v>18</v>
      </c>
      <c r="E657" s="40" t="s">
        <v>7</v>
      </c>
      <c r="G657" s="93" t="str">
        <f>CONCATENATE("Cable Scrap, Lying at ",B658,". Quantity in MT - ")</f>
        <v>Cable Scrap, Lying at CS Ferozepur. Quantity in MT - </v>
      </c>
      <c r="H657" s="309" t="str">
        <f ca="1">CONCATENATE(G657,G658,(INDIRECT(I658)),(INDIRECT(J658)),(INDIRECT(K658)),(INDIRECT(L658)),(INDIRECT(M658)),(INDIRECT(N658)),(INDIRECT(O658)),(INDIRECT(P658)),(INDIRECT(Q658)),(INDIRECT(R658)))</f>
        <v>Cable Scrap, Lying at CS Ferozepur. Quantity in MT - 2/core PVC Alumn. Cable scrap - 0.719, 4/core PVC Alumn. Cable scrap - 2.482, 1/ core XLPE Alu cable scrap - 0.136, 3/ core XLPE Alu cable scrap - 2.872, </v>
      </c>
      <c r="I657" s="98" t="str">
        <f aca="true" ca="1" t="array" ref="I657">CELL("address",INDEX(G657:G681,MATCH(TRUE,ISBLANK(G657:G681),0)))</f>
        <v>$G$662</v>
      </c>
      <c r="J657" s="98">
        <f aca="true" t="array" ref="J657">MATCH(TRUE,ISBLANK(G657:G681),0)</f>
        <v>6</v>
      </c>
      <c r="K657" s="98">
        <f>J657-3</f>
        <v>3</v>
      </c>
      <c r="L657" s="98"/>
      <c r="M657" s="98"/>
      <c r="N657" s="98"/>
      <c r="O657" s="98"/>
      <c r="P657" s="98"/>
      <c r="Q657" s="98"/>
      <c r="R657" s="98"/>
    </row>
    <row r="658" spans="1:18" ht="15" customHeight="1">
      <c r="A658" s="306" t="s">
        <v>35</v>
      </c>
      <c r="B658" s="306" t="s">
        <v>99</v>
      </c>
      <c r="C658" s="306"/>
      <c r="D658" s="45" t="s">
        <v>90</v>
      </c>
      <c r="E658" s="46">
        <v>0.719</v>
      </c>
      <c r="F658" s="98"/>
      <c r="G658" s="92" t="str">
        <f>CONCATENATE(D658," - ",E658,", ")</f>
        <v>2/core PVC Alumn. Cable scrap - 0.719, </v>
      </c>
      <c r="H658" s="309"/>
      <c r="I658" s="98" t="str">
        <f ca="1">IF(J657&gt;=3,(MID(I657,2,1)&amp;MID(I657,4,3)-K657),CELL("address",Z658))</f>
        <v>G659</v>
      </c>
      <c r="J658" s="98" t="str">
        <f ca="1">IF(J657&gt;=4,(MID(I658,1,1)&amp;MID(I658,2,3)+1),CELL("address",AA658))</f>
        <v>G660</v>
      </c>
      <c r="K658" s="98" t="str">
        <f ca="1">IF(J657&gt;=5,(MID(J658,1,1)&amp;MID(J658,2,3)+1),CELL("address",AB658))</f>
        <v>G661</v>
      </c>
      <c r="L658" s="98" t="str">
        <f ca="1">IF(J657&gt;=6,(MID(K658,1,1)&amp;MID(K658,2,3)+1),CELL("address",AC658))</f>
        <v>G662</v>
      </c>
      <c r="M658" s="98" t="str">
        <f ca="1">IF(J657&gt;=7,(MID(L658,1,1)&amp;MID(L658,2,3)+1),CELL("address",AD658))</f>
        <v>$AD$658</v>
      </c>
      <c r="N658" s="98" t="str">
        <f ca="1">IF(J657&gt;=8,(MID(M658,1,1)&amp;MID(M658,2,3)+1),CELL("address",AE658))</f>
        <v>$AE$658</v>
      </c>
      <c r="O658" s="98" t="str">
        <f ca="1">IF(J657&gt;=9,(MID(N658,1,1)&amp;MID(N658,2,3)+1),CELL("address",AF658))</f>
        <v>$AF$658</v>
      </c>
      <c r="P658" s="98" t="str">
        <f ca="1">IF(J657&gt;=10,(MID(O658,1,1)&amp;MID(O658,2,3)+1),CELL("address",AG658))</f>
        <v>$AG$658</v>
      </c>
      <c r="Q658" s="98" t="str">
        <f ca="1">IF(J657&gt;=11,(MID(P658,1,1)&amp;MID(P658,2,3)+1),CELL("address",AH658))</f>
        <v>$AH$658</v>
      </c>
      <c r="R658" s="98" t="str">
        <f ca="1">IF(J657&gt;=12,(MID(Q658,1,1)&amp;MID(Q658,2,3)+1),CELL("address",AI658))</f>
        <v>$AI$658</v>
      </c>
    </row>
    <row r="659" spans="1:15" ht="15" customHeight="1">
      <c r="A659" s="306"/>
      <c r="B659" s="306"/>
      <c r="C659" s="306"/>
      <c r="D659" s="45" t="s">
        <v>91</v>
      </c>
      <c r="E659" s="46">
        <v>2.482</v>
      </c>
      <c r="F659" s="98"/>
      <c r="G659" s="92" t="str">
        <f>CONCATENATE(D659," - ",E659,", ")</f>
        <v>4/core PVC Alumn. Cable scrap - 2.482, </v>
      </c>
      <c r="H659" s="98"/>
      <c r="I659" s="98" t="e">
        <f ca="1">IF(G658&gt;=6,(MID(H659,1,1)&amp;MID(H659,2,3)+1),CELL("address",Z659))</f>
        <v>#VALUE!</v>
      </c>
      <c r="J659" s="98" t="e">
        <f ca="1">IF(G658&gt;=7,(MID(I659,1,1)&amp;MID(I659,2,3)+1),CELL("address",AA659))</f>
        <v>#VALUE!</v>
      </c>
      <c r="K659" s="98" t="e">
        <f ca="1">IF(G658&gt;=8,(MID(J659,1,1)&amp;MID(J659,2,3)+1),CELL("address",AB659))</f>
        <v>#VALUE!</v>
      </c>
      <c r="L659" s="98" t="e">
        <f ca="1">IF(G658&gt;=9,(MID(K659,1,1)&amp;MID(K659,2,3)+1),CELL("address",AC659))</f>
        <v>#VALUE!</v>
      </c>
      <c r="M659" s="98" t="e">
        <f ca="1">IF(G658&gt;=10,(MID(L659,1,1)&amp;MID(L659,2,3)+1),CELL("address",AD659))</f>
        <v>#VALUE!</v>
      </c>
      <c r="N659" s="98" t="e">
        <f ca="1">IF(G658&gt;=11,(MID(M659,1,1)&amp;MID(M659,2,3)+1),CELL("address",AE659))</f>
        <v>#VALUE!</v>
      </c>
      <c r="O659" s="98" t="e">
        <f ca="1">IF(G658&gt;=12,(MID(N659,1,1)&amp;MID(N659,2,3)+1),CELL("address",AF659))</f>
        <v>#VALUE!</v>
      </c>
    </row>
    <row r="660" spans="1:8" ht="15" customHeight="1">
      <c r="A660" s="306"/>
      <c r="B660" s="306"/>
      <c r="C660" s="306"/>
      <c r="D660" s="45" t="s">
        <v>97</v>
      </c>
      <c r="E660" s="45">
        <v>0.136</v>
      </c>
      <c r="G660" s="92" t="str">
        <f>CONCATENATE(D660," - ",E660,", ")</f>
        <v>1/ core XLPE Alu cable scrap - 0.136, </v>
      </c>
      <c r="H660" s="1"/>
    </row>
    <row r="661" spans="1:8" ht="15" customHeight="1">
      <c r="A661" s="306"/>
      <c r="B661" s="306"/>
      <c r="C661" s="306"/>
      <c r="D661" s="45" t="s">
        <v>92</v>
      </c>
      <c r="E661" s="47">
        <v>2.872</v>
      </c>
      <c r="G661" s="92" t="str">
        <f>CONCATENATE(D661," - ",E661,", ")</f>
        <v>3/ core XLPE Alu cable scrap - 2.872, </v>
      </c>
      <c r="H661" s="1"/>
    </row>
    <row r="662" spans="1:8" ht="15" customHeight="1">
      <c r="A662" s="39"/>
      <c r="B662" s="48"/>
      <c r="C662" s="258"/>
      <c r="D662" s="34"/>
      <c r="E662" s="49"/>
      <c r="H662" s="1"/>
    </row>
    <row r="663" spans="1:8" ht="15" customHeight="1">
      <c r="A663" s="40"/>
      <c r="B663" s="314"/>
      <c r="C663" s="315"/>
      <c r="D663" s="214"/>
      <c r="E663" s="52">
        <f>SUM(E665:E668)</f>
        <v>3.2920000000000003</v>
      </c>
      <c r="H663" s="1"/>
    </row>
    <row r="664" spans="1:18" ht="15" customHeight="1">
      <c r="A664" s="40" t="s">
        <v>5</v>
      </c>
      <c r="B664" s="306" t="s">
        <v>17</v>
      </c>
      <c r="C664" s="306"/>
      <c r="D664" s="209" t="s">
        <v>18</v>
      </c>
      <c r="E664" s="40" t="s">
        <v>7</v>
      </c>
      <c r="G664" s="93" t="str">
        <f>CONCATENATE("Cable Scrap, Lying at ",B665,". Quantity in MT - ")</f>
        <v>Cable Scrap, Lying at OL Shri Muktsar Sahib. Quantity in MT - </v>
      </c>
      <c r="H664" s="309" t="str">
        <f ca="1">CONCATENATE(G664,G665,(INDIRECT(I665)),(INDIRECT(J665)),(INDIRECT(K665)),(INDIRECT(L665)),(INDIRECT(M665)),(INDIRECT(N665)),(INDIRECT(O665)),(INDIRECT(P665)),(INDIRECT(Q665)),(INDIRECT(R665)))</f>
        <v>Cable Scrap, Lying at OL Shri Muktsar Sahib. Quantity in MT - 4/core PVC Alumn. Cable scrap - 0.679, 3/ core XLPE Alu cable scrap - 1.96, 1/core PVC Alumn. Cable scrap - 0.141, 2/core PVC Alumn. Cable scrap - 0.512, </v>
      </c>
      <c r="I664" s="98" t="str">
        <f aca="true" ca="1" t="array" ref="I664">CELL("address",INDEX(G664:G688,MATCH(TRUE,ISBLANK(G664:G688),0)))</f>
        <v>$G$669</v>
      </c>
      <c r="J664" s="98">
        <f aca="true" t="array" ref="J664">MATCH(TRUE,ISBLANK(G664:G688),0)</f>
        <v>6</v>
      </c>
      <c r="K664" s="98">
        <f>J664-3</f>
        <v>3</v>
      </c>
      <c r="L664" s="98"/>
      <c r="M664" s="98"/>
      <c r="N664" s="98"/>
      <c r="O664" s="98"/>
      <c r="P664" s="98"/>
      <c r="Q664" s="98"/>
      <c r="R664" s="98"/>
    </row>
    <row r="665" spans="1:18" ht="15" customHeight="1">
      <c r="A665" s="313" t="s">
        <v>93</v>
      </c>
      <c r="B665" s="317" t="s">
        <v>146</v>
      </c>
      <c r="C665" s="318"/>
      <c r="D665" s="45" t="s">
        <v>91</v>
      </c>
      <c r="E665" s="46">
        <v>0.679</v>
      </c>
      <c r="F665" s="98"/>
      <c r="G665" s="92" t="str">
        <f>CONCATENATE(D665," - ",E665,", ")</f>
        <v>4/core PVC Alumn. Cable scrap - 0.679, </v>
      </c>
      <c r="H665" s="309"/>
      <c r="I665" s="98" t="str">
        <f ca="1">IF(J664&gt;=3,(MID(I664,2,1)&amp;MID(I664,4,3)-K664),CELL("address",Z665))</f>
        <v>G666</v>
      </c>
      <c r="J665" s="98" t="str">
        <f ca="1">IF(J664&gt;=4,(MID(I665,1,1)&amp;MID(I665,2,3)+1),CELL("address",AA665))</f>
        <v>G667</v>
      </c>
      <c r="K665" s="98" t="str">
        <f ca="1">IF(J664&gt;=5,(MID(J665,1,1)&amp;MID(J665,2,3)+1),CELL("address",AB665))</f>
        <v>G668</v>
      </c>
      <c r="L665" s="98" t="str">
        <f ca="1">IF(J664&gt;=6,(MID(K665,1,1)&amp;MID(K665,2,3)+1),CELL("address",AC665))</f>
        <v>G669</v>
      </c>
      <c r="M665" s="98" t="str">
        <f ca="1">IF(J664&gt;=7,(MID(L665,1,1)&amp;MID(L665,2,3)+1),CELL("address",AD665))</f>
        <v>$AD$665</v>
      </c>
      <c r="N665" s="98" t="str">
        <f ca="1">IF(J664&gt;=8,(MID(M665,1,1)&amp;MID(M665,2,3)+1),CELL("address",AE665))</f>
        <v>$AE$665</v>
      </c>
      <c r="O665" s="98" t="str">
        <f ca="1">IF(J664&gt;=9,(MID(N665,1,1)&amp;MID(N665,2,3)+1),CELL("address",AF665))</f>
        <v>$AF$665</v>
      </c>
      <c r="P665" s="98" t="str">
        <f ca="1">IF(J664&gt;=10,(MID(O665,1,1)&amp;MID(O665,2,3)+1),CELL("address",AG665))</f>
        <v>$AG$665</v>
      </c>
      <c r="Q665" s="98" t="str">
        <f ca="1">IF(J664&gt;=11,(MID(P665,1,1)&amp;MID(P665,2,3)+1),CELL("address",AH665))</f>
        <v>$AH$665</v>
      </c>
      <c r="R665" s="98" t="str">
        <f ca="1">IF(J664&gt;=12,(MID(Q665,1,1)&amp;MID(Q665,2,3)+1),CELL("address",AI665))</f>
        <v>$AI$665</v>
      </c>
    </row>
    <row r="666" spans="1:15" ht="15" customHeight="1">
      <c r="A666" s="378"/>
      <c r="B666" s="325"/>
      <c r="C666" s="326"/>
      <c r="D666" s="45" t="s">
        <v>92</v>
      </c>
      <c r="E666" s="46">
        <v>1.96</v>
      </c>
      <c r="F666" s="98"/>
      <c r="G666" s="92" t="str">
        <f>CONCATENATE(D666," - ",E666,", ")</f>
        <v>3/ core XLPE Alu cable scrap - 1.96, </v>
      </c>
      <c r="H666" s="98"/>
      <c r="I666" s="98" t="e">
        <f ca="1">IF(G665&gt;=6,(MID(H666,1,1)&amp;MID(H666,2,3)+1),CELL("address",Z666))</f>
        <v>#VALUE!</v>
      </c>
      <c r="J666" s="98" t="e">
        <f ca="1">IF(G665&gt;=7,(MID(I666,1,1)&amp;MID(I666,2,3)+1),CELL("address",AA666))</f>
        <v>#VALUE!</v>
      </c>
      <c r="K666" s="98" t="e">
        <f ca="1">IF(G665&gt;=8,(MID(J666,1,1)&amp;MID(J666,2,3)+1),CELL("address",AB666))</f>
        <v>#VALUE!</v>
      </c>
      <c r="L666" s="98" t="e">
        <f ca="1">IF(G665&gt;=9,(MID(K666,1,1)&amp;MID(K666,2,3)+1),CELL("address",AC666))</f>
        <v>#VALUE!</v>
      </c>
      <c r="M666" s="98" t="e">
        <f ca="1">IF(G665&gt;=10,(MID(L666,1,1)&amp;MID(L666,2,3)+1),CELL("address",AD666))</f>
        <v>#VALUE!</v>
      </c>
      <c r="N666" s="98" t="e">
        <f ca="1">IF(G665&gt;=11,(MID(M666,1,1)&amp;MID(M666,2,3)+1),CELL("address",AE666))</f>
        <v>#VALUE!</v>
      </c>
      <c r="O666" s="98" t="e">
        <f ca="1">IF(G665&gt;=12,(MID(N666,1,1)&amp;MID(N666,2,3)+1),CELL("address",AF666))</f>
        <v>#VALUE!</v>
      </c>
    </row>
    <row r="667" spans="1:8" ht="15" customHeight="1">
      <c r="A667" s="378"/>
      <c r="B667" s="325"/>
      <c r="C667" s="326"/>
      <c r="D667" s="45" t="s">
        <v>171</v>
      </c>
      <c r="E667" s="75">
        <v>0.141</v>
      </c>
      <c r="G667" s="92" t="str">
        <f>CONCATENATE(D667," - ",E667,", ")</f>
        <v>1/core PVC Alumn. Cable scrap - 0.141, </v>
      </c>
      <c r="H667" s="1"/>
    </row>
    <row r="668" spans="1:8" ht="15" customHeight="1">
      <c r="A668" s="379"/>
      <c r="B668" s="327"/>
      <c r="C668" s="328"/>
      <c r="D668" s="45" t="s">
        <v>90</v>
      </c>
      <c r="E668" s="75">
        <v>0.512</v>
      </c>
      <c r="G668" s="92" t="str">
        <f>CONCATENATE(D668," - ",E668,", ")</f>
        <v>2/core PVC Alumn. Cable scrap - 0.512, </v>
      </c>
      <c r="H668" s="1"/>
    </row>
    <row r="669" spans="1:8" ht="15" customHeight="1">
      <c r="A669" s="40"/>
      <c r="B669" s="314"/>
      <c r="C669" s="315"/>
      <c r="D669" s="71"/>
      <c r="E669" s="75"/>
      <c r="H669" s="1"/>
    </row>
    <row r="670" spans="1:8" ht="15" customHeight="1">
      <c r="A670" s="40"/>
      <c r="B670" s="314"/>
      <c r="C670" s="315"/>
      <c r="D670" s="216"/>
      <c r="E670" s="44">
        <f>SUM(E672:E675)</f>
        <v>3.5680000000000005</v>
      </c>
      <c r="H670" s="1"/>
    </row>
    <row r="671" spans="1:18" ht="15" customHeight="1">
      <c r="A671" s="40" t="s">
        <v>5</v>
      </c>
      <c r="B671" s="304" t="s">
        <v>17</v>
      </c>
      <c r="C671" s="307"/>
      <c r="D671" s="210" t="s">
        <v>18</v>
      </c>
      <c r="E671" s="40" t="s">
        <v>7</v>
      </c>
      <c r="G671" s="93" t="str">
        <f>CONCATENATE("Cable Scrap, Lying at ",B672,". Quantity in MT - ")</f>
        <v>Cable Scrap, Lying at OL Bhagta Bhai Ka. Quantity in MT - </v>
      </c>
      <c r="H671" s="309" t="str">
        <f ca="1">CONCATENATE(G671,G672,(INDIRECT(I672)),(INDIRECT(J672)),(INDIRECT(K672)),(INDIRECT(L672)),(INDIRECT(M672)),(INDIRECT(N672)),(INDIRECT(O672)),(INDIRECT(P672)),(INDIRECT(Q672)),(INDIRECT(R672)))</f>
        <v>Cable Scrap, Lying at OL Bhagta Bhai Ka. Quantity in MT - 4/core PVC Alumn. Cable scrap - 1.928, 2/core PVC Alumn. Cable scrap - 0.567, 3/ core XLPE Alu cable scrap - 0.671, ABC cable scrap (150 mm) - 0.402, </v>
      </c>
      <c r="I671" s="98" t="str">
        <f aca="true" ca="1" t="array" ref="I671">CELL("address",INDEX(G671:G695,MATCH(TRUE,ISBLANK(G671:G695),0)))</f>
        <v>$G$676</v>
      </c>
      <c r="J671" s="98">
        <f aca="true" t="array" ref="J671">MATCH(TRUE,ISBLANK(G671:G695),0)</f>
        <v>6</v>
      </c>
      <c r="K671" s="98">
        <f>J671-3</f>
        <v>3</v>
      </c>
      <c r="L671" s="98"/>
      <c r="M671" s="98"/>
      <c r="N671" s="98"/>
      <c r="O671" s="98"/>
      <c r="P671" s="98"/>
      <c r="Q671" s="98"/>
      <c r="R671" s="98"/>
    </row>
    <row r="672" spans="1:18" ht="15" customHeight="1">
      <c r="A672" s="306" t="s">
        <v>94</v>
      </c>
      <c r="B672" s="306" t="s">
        <v>100</v>
      </c>
      <c r="C672" s="306"/>
      <c r="D672" s="45" t="s">
        <v>91</v>
      </c>
      <c r="E672" s="46">
        <v>1.928</v>
      </c>
      <c r="F672" s="98"/>
      <c r="G672" s="92" t="str">
        <f>CONCATENATE(D672," - ",E672,", ")</f>
        <v>4/core PVC Alumn. Cable scrap - 1.928, </v>
      </c>
      <c r="H672" s="309"/>
      <c r="I672" s="98" t="str">
        <f ca="1">IF(J671&gt;=3,(MID(I671,2,1)&amp;MID(I671,4,3)-K671),CELL("address",Z672))</f>
        <v>G673</v>
      </c>
      <c r="J672" s="98" t="str">
        <f ca="1">IF(J671&gt;=4,(MID(I672,1,1)&amp;MID(I672,2,3)+1),CELL("address",AA672))</f>
        <v>G674</v>
      </c>
      <c r="K672" s="98" t="str">
        <f ca="1">IF(J671&gt;=5,(MID(J672,1,1)&amp;MID(J672,2,3)+1),CELL("address",AB672))</f>
        <v>G675</v>
      </c>
      <c r="L672" s="98" t="str">
        <f ca="1">IF(J671&gt;=6,(MID(K672,1,1)&amp;MID(K672,2,3)+1),CELL("address",AC672))</f>
        <v>G676</v>
      </c>
      <c r="M672" s="98" t="str">
        <f ca="1">IF(J671&gt;=7,(MID(L672,1,1)&amp;MID(L672,2,3)+1),CELL("address",AD672))</f>
        <v>$AD$672</v>
      </c>
      <c r="N672" s="98" t="str">
        <f ca="1">IF(J671&gt;=8,(MID(M672,1,1)&amp;MID(M672,2,3)+1),CELL("address",AE672))</f>
        <v>$AE$672</v>
      </c>
      <c r="O672" s="98" t="str">
        <f ca="1">IF(J671&gt;=9,(MID(N672,1,1)&amp;MID(N672,2,3)+1),CELL("address",AF672))</f>
        <v>$AF$672</v>
      </c>
      <c r="P672" s="98" t="str">
        <f ca="1">IF(J671&gt;=10,(MID(O672,1,1)&amp;MID(O672,2,3)+1),CELL("address",AG672))</f>
        <v>$AG$672</v>
      </c>
      <c r="Q672" s="98" t="str">
        <f ca="1">IF(J671&gt;=11,(MID(P672,1,1)&amp;MID(P672,2,3)+1),CELL("address",AH672))</f>
        <v>$AH$672</v>
      </c>
      <c r="R672" s="98" t="str">
        <f ca="1">IF(J671&gt;=12,(MID(Q672,1,1)&amp;MID(Q672,2,3)+1),CELL("address",AI672))</f>
        <v>$AI$672</v>
      </c>
    </row>
    <row r="673" spans="1:15" ht="15" customHeight="1">
      <c r="A673" s="306"/>
      <c r="B673" s="306"/>
      <c r="C673" s="306"/>
      <c r="D673" s="45" t="s">
        <v>90</v>
      </c>
      <c r="E673" s="75">
        <v>0.567</v>
      </c>
      <c r="F673" s="98"/>
      <c r="G673" s="92" t="str">
        <f>CONCATENATE(D673," - ",E673,", ")</f>
        <v>2/core PVC Alumn. Cable scrap - 0.567, </v>
      </c>
      <c r="H673" s="98"/>
      <c r="I673" s="98" t="e">
        <f ca="1">IF(G672&gt;=6,(MID(H673,1,1)&amp;MID(H673,2,3)+1),CELL("address",Z673))</f>
        <v>#VALUE!</v>
      </c>
      <c r="J673" s="98" t="e">
        <f ca="1">IF(G672&gt;=7,(MID(I673,1,1)&amp;MID(I673,2,3)+1),CELL("address",AA673))</f>
        <v>#VALUE!</v>
      </c>
      <c r="K673" s="98" t="e">
        <f ca="1">IF(G672&gt;=8,(MID(J673,1,1)&amp;MID(J673,2,3)+1),CELL("address",AB673))</f>
        <v>#VALUE!</v>
      </c>
      <c r="L673" s="98" t="e">
        <f ca="1">IF(G672&gt;=9,(MID(K673,1,1)&amp;MID(K673,2,3)+1),CELL("address",AC673))</f>
        <v>#VALUE!</v>
      </c>
      <c r="M673" s="98" t="e">
        <f ca="1">IF(G672&gt;=10,(MID(L673,1,1)&amp;MID(L673,2,3)+1),CELL("address",AD673))</f>
        <v>#VALUE!</v>
      </c>
      <c r="N673" s="98" t="e">
        <f ca="1">IF(G672&gt;=11,(MID(M673,1,1)&amp;MID(M673,2,3)+1),CELL("address",AE673))</f>
        <v>#VALUE!</v>
      </c>
      <c r="O673" s="98" t="e">
        <f ca="1">IF(G672&gt;=12,(MID(N673,1,1)&amp;MID(N673,2,3)+1),CELL("address",AF673))</f>
        <v>#VALUE!</v>
      </c>
    </row>
    <row r="674" spans="1:8" ht="15" customHeight="1">
      <c r="A674" s="306"/>
      <c r="B674" s="306"/>
      <c r="C674" s="306"/>
      <c r="D674" s="45" t="s">
        <v>92</v>
      </c>
      <c r="E674" s="75">
        <v>0.671</v>
      </c>
      <c r="G674" s="92" t="str">
        <f>CONCATENATE(D674," - ",E674,", ")</f>
        <v>3/ core XLPE Alu cable scrap - 0.671, </v>
      </c>
      <c r="H674" s="1"/>
    </row>
    <row r="675" spans="1:8" ht="15" customHeight="1">
      <c r="A675" s="306"/>
      <c r="B675" s="306"/>
      <c r="C675" s="306"/>
      <c r="D675" s="45" t="s">
        <v>244</v>
      </c>
      <c r="E675" s="75">
        <v>0.402</v>
      </c>
      <c r="G675" s="92" t="str">
        <f>CONCATENATE(D675," - ",E675,", ")</f>
        <v>ABC cable scrap (150 mm) - 0.402, </v>
      </c>
      <c r="H675" s="1"/>
    </row>
    <row r="676" spans="1:8" ht="15" customHeight="1">
      <c r="A676" s="39"/>
      <c r="B676" s="41"/>
      <c r="C676" s="42"/>
      <c r="D676" s="71"/>
      <c r="E676" s="75"/>
      <c r="H676" s="1"/>
    </row>
    <row r="677" spans="1:8" ht="15" customHeight="1">
      <c r="A677" s="40"/>
      <c r="B677" s="314"/>
      <c r="C677" s="315"/>
      <c r="D677" s="214"/>
      <c r="E677" s="52">
        <f>SUM(E679:E683)</f>
        <v>14.199</v>
      </c>
      <c r="H677" s="1"/>
    </row>
    <row r="678" spans="1:18" ht="15" customHeight="1">
      <c r="A678" s="40" t="s">
        <v>5</v>
      </c>
      <c r="B678" s="306" t="s">
        <v>17</v>
      </c>
      <c r="C678" s="306"/>
      <c r="D678" s="209" t="s">
        <v>18</v>
      </c>
      <c r="E678" s="40" t="s">
        <v>7</v>
      </c>
      <c r="G678" s="93" t="str">
        <f>CONCATENATE("Cable Scrap, Lying at ",B679,". Quantity in MT - ")</f>
        <v>Cable Scrap, Lying at CS Bathinda. Quantity in MT - </v>
      </c>
      <c r="H678" s="309" t="str">
        <f ca="1">CONCATENATE(G678,G679,(INDIRECT(I679)),(INDIRECT(J679)),(INDIRECT(K679)),(INDIRECT(L679)),(INDIRECT(M679)),(INDIRECT(N679)),(INDIRECT(O679)),(INDIRECT(P679)),(INDIRECT(Q679)),(INDIRECT(R679)))</f>
        <v>Cable Scrap, Lying at CS Bathinda. Quantity in MT - 2/core PVC Alumn. Cable scrap - 0.476, 4/core PVC Alumn. Cable scrap - 2.26, 1/ core XLPE Alu cable scrap - 0.148, 3/ core XLPE Alu cable scrap - 5.991, ABC cable scrap (70/95 mm) - 5.324, </v>
      </c>
      <c r="I678" s="98" t="str">
        <f aca="true" ca="1" t="array" ref="I678">CELL("address",INDEX(G678:G702,MATCH(TRUE,ISBLANK(G678:G702),0)))</f>
        <v>$G$684</v>
      </c>
      <c r="J678" s="98">
        <f aca="true" t="array" ref="J678">MATCH(TRUE,ISBLANK(G678:G702),0)</f>
        <v>7</v>
      </c>
      <c r="K678" s="98">
        <f>J678-3</f>
        <v>4</v>
      </c>
      <c r="L678" s="98"/>
      <c r="M678" s="98"/>
      <c r="N678" s="98"/>
      <c r="O678" s="98"/>
      <c r="P678" s="98"/>
      <c r="Q678" s="98"/>
      <c r="R678" s="98"/>
    </row>
    <row r="679" spans="1:18" ht="15" customHeight="1">
      <c r="A679" s="306" t="s">
        <v>96</v>
      </c>
      <c r="B679" s="306" t="s">
        <v>63</v>
      </c>
      <c r="C679" s="306"/>
      <c r="D679" s="45" t="s">
        <v>90</v>
      </c>
      <c r="E679" s="46">
        <v>0.476</v>
      </c>
      <c r="G679" s="92" t="str">
        <f>CONCATENATE(D679," - ",E679,", ")</f>
        <v>2/core PVC Alumn. Cable scrap - 0.476, </v>
      </c>
      <c r="H679" s="309"/>
      <c r="I679" s="98" t="str">
        <f ca="1">IF(J678&gt;=3,(MID(I678,2,1)&amp;MID(I678,4,3)-K678),CELL("address",Z679))</f>
        <v>G680</v>
      </c>
      <c r="J679" s="98" t="str">
        <f ca="1">IF(J678&gt;=4,(MID(I679,1,1)&amp;MID(I679,2,3)+1),CELL("address",AA679))</f>
        <v>G681</v>
      </c>
      <c r="K679" s="98" t="str">
        <f ca="1">IF(J678&gt;=5,(MID(J679,1,1)&amp;MID(J679,2,3)+1),CELL("address",AB679))</f>
        <v>G682</v>
      </c>
      <c r="L679" s="98" t="str">
        <f ca="1">IF(J678&gt;=6,(MID(K679,1,1)&amp;MID(K679,2,3)+1),CELL("address",AC679))</f>
        <v>G683</v>
      </c>
      <c r="M679" s="98" t="str">
        <f ca="1">IF(J678&gt;=7,(MID(L679,1,1)&amp;MID(L679,2,3)+1),CELL("address",AD679))</f>
        <v>G684</v>
      </c>
      <c r="N679" s="98" t="str">
        <f ca="1">IF(J678&gt;=8,(MID(M679,1,1)&amp;MID(M679,2,3)+1),CELL("address",AE679))</f>
        <v>$AE$679</v>
      </c>
      <c r="O679" s="98" t="str">
        <f ca="1">IF(J678&gt;=9,(MID(N679,1,1)&amp;MID(N679,2,3)+1),CELL("address",AF679))</f>
        <v>$AF$679</v>
      </c>
      <c r="P679" s="98" t="str">
        <f ca="1">IF(J678&gt;=10,(MID(O679,1,1)&amp;MID(O679,2,3)+1),CELL("address",AG679))</f>
        <v>$AG$679</v>
      </c>
      <c r="Q679" s="98" t="str">
        <f ca="1">IF(J678&gt;=11,(MID(P679,1,1)&amp;MID(P679,2,3)+1),CELL("address",AH679))</f>
        <v>$AH$679</v>
      </c>
      <c r="R679" s="98" t="str">
        <f ca="1">IF(J678&gt;=12,(MID(Q679,1,1)&amp;MID(Q679,2,3)+1),CELL("address",AI679))</f>
        <v>$AI$679</v>
      </c>
    </row>
    <row r="680" spans="1:15" ht="15" customHeight="1">
      <c r="A680" s="306"/>
      <c r="B680" s="306"/>
      <c r="C680" s="306"/>
      <c r="D680" s="45" t="s">
        <v>91</v>
      </c>
      <c r="E680" s="46">
        <v>2.26</v>
      </c>
      <c r="F680" s="98"/>
      <c r="G680" s="92" t="str">
        <f>CONCATENATE(D680," - ",E680,", ")</f>
        <v>4/core PVC Alumn. Cable scrap - 2.26, </v>
      </c>
      <c r="H680" s="98"/>
      <c r="I680" s="98"/>
      <c r="J680" s="98"/>
      <c r="K680" s="98"/>
      <c r="L680" s="98"/>
      <c r="M680" s="98"/>
      <c r="N680" s="98"/>
      <c r="O680" s="98"/>
    </row>
    <row r="681" spans="1:15" ht="15" customHeight="1">
      <c r="A681" s="306"/>
      <c r="B681" s="306"/>
      <c r="C681" s="306"/>
      <c r="D681" s="45" t="s">
        <v>97</v>
      </c>
      <c r="E681" s="47">
        <v>0.148</v>
      </c>
      <c r="F681" s="98"/>
      <c r="G681" s="92" t="str">
        <f>CONCATENATE(D681," - ",E681,", ")</f>
        <v>1/ core XLPE Alu cable scrap - 0.148, </v>
      </c>
      <c r="H681" s="98"/>
      <c r="I681" s="98" t="e">
        <f ca="1">IF(G680&gt;=6,(MID(H681,1,1)&amp;MID(H681,2,3)+1),CELL("address",Z681))</f>
        <v>#VALUE!</v>
      </c>
      <c r="J681" s="98" t="e">
        <f ca="1">IF(G680&gt;=7,(MID(I681,1,1)&amp;MID(I681,2,3)+1),CELL("address",AA681))</f>
        <v>#VALUE!</v>
      </c>
      <c r="K681" s="98" t="e">
        <f ca="1">IF(G680&gt;=8,(MID(J681,1,1)&amp;MID(J681,2,3)+1),CELL("address",AB681))</f>
        <v>#VALUE!</v>
      </c>
      <c r="L681" s="98" t="e">
        <f ca="1">IF(G680&gt;=9,(MID(K681,1,1)&amp;MID(K681,2,3)+1),CELL("address",AC681))</f>
        <v>#VALUE!</v>
      </c>
      <c r="M681" s="98" t="e">
        <f ca="1">IF(G680&gt;=10,(MID(L681,1,1)&amp;MID(L681,2,3)+1),CELL("address",AD681))</f>
        <v>#VALUE!</v>
      </c>
      <c r="N681" s="98" t="e">
        <f ca="1">IF(G680&gt;=11,(MID(M681,1,1)&amp;MID(M681,2,3)+1),CELL("address",AE681))</f>
        <v>#VALUE!</v>
      </c>
      <c r="O681" s="98" t="e">
        <f ca="1">IF(G680&gt;=12,(MID(N681,1,1)&amp;MID(N681,2,3)+1),CELL("address",AF681))</f>
        <v>#VALUE!</v>
      </c>
    </row>
    <row r="682" spans="1:8" ht="15" customHeight="1">
      <c r="A682" s="306"/>
      <c r="B682" s="306"/>
      <c r="C682" s="306"/>
      <c r="D682" s="45" t="s">
        <v>92</v>
      </c>
      <c r="E682" s="186">
        <v>5.991</v>
      </c>
      <c r="G682" s="92" t="str">
        <f>CONCATENATE(D682," - ",E682,", ")</f>
        <v>3/ core XLPE Alu cable scrap - 5.991, </v>
      </c>
      <c r="H682" s="1"/>
    </row>
    <row r="683" spans="1:8" ht="15" customHeight="1">
      <c r="A683" s="306"/>
      <c r="B683" s="306"/>
      <c r="C683" s="306"/>
      <c r="D683" s="45" t="s">
        <v>168</v>
      </c>
      <c r="E683" s="186">
        <v>5.324</v>
      </c>
      <c r="G683" s="92" t="str">
        <f>CONCATENATE(D683," - ",E683,", ")</f>
        <v>ABC cable scrap (70/95 mm) - 5.324, </v>
      </c>
      <c r="H683" s="1"/>
    </row>
    <row r="684" spans="1:8" ht="15" customHeight="1">
      <c r="A684" s="39"/>
      <c r="B684" s="41"/>
      <c r="C684" s="42"/>
      <c r="D684" s="76"/>
      <c r="E684" s="77"/>
      <c r="H684" s="1"/>
    </row>
    <row r="685" spans="1:8" ht="15" customHeight="1">
      <c r="A685" s="39"/>
      <c r="B685" s="259"/>
      <c r="C685" s="260"/>
      <c r="D685" s="216"/>
      <c r="E685" s="170">
        <f>SUM(E687:E690)</f>
        <v>4.923</v>
      </c>
      <c r="H685" s="1"/>
    </row>
    <row r="686" spans="1:18" ht="15" customHeight="1">
      <c r="A686" s="40" t="s">
        <v>5</v>
      </c>
      <c r="B686" s="304" t="s">
        <v>17</v>
      </c>
      <c r="C686" s="307"/>
      <c r="D686" s="210" t="s">
        <v>18</v>
      </c>
      <c r="E686" s="39" t="s">
        <v>7</v>
      </c>
      <c r="G686" s="93" t="str">
        <f>CONCATENATE("Cable Scrap, Lying at ",B687,". Quantity in MT - ")</f>
        <v>Cable Scrap, Lying at OL Mansa. Quantity in MT - </v>
      </c>
      <c r="H686" s="309" t="str">
        <f ca="1">CONCATENATE(G686,G687,(INDIRECT(I687)),(INDIRECT(J687)),(INDIRECT(K687)),(INDIRECT(L687)),(INDIRECT(M687)),(INDIRECT(N687)),(INDIRECT(O687)),(INDIRECT(P687)),(INDIRECT(Q687)),(INDIRECT(R687)))</f>
        <v>Cable Scrap, Lying at OL Mansa. Quantity in MT - 2/core PVC Alumn. Cable scrap - 0.821, 4/core PVC Alumn. Cable scrap - 2.131, 3/ core XLPE Alu cable scrap - 1.881, ABC cable scrap (70/95 mm) - 0.09, </v>
      </c>
      <c r="I686" s="98" t="str">
        <f aca="true" ca="1" t="array" ref="I686">CELL("address",INDEX(G686:G710,MATCH(TRUE,ISBLANK(G686:G710),0)))</f>
        <v>$G$691</v>
      </c>
      <c r="J686" s="98">
        <f aca="true" t="array" ref="J686">MATCH(TRUE,ISBLANK(G686:G710),0)</f>
        <v>6</v>
      </c>
      <c r="K686" s="98">
        <f>J686-3</f>
        <v>3</v>
      </c>
      <c r="L686" s="98"/>
      <c r="M686" s="98"/>
      <c r="N686" s="98"/>
      <c r="O686" s="98"/>
      <c r="P686" s="98"/>
      <c r="Q686" s="98"/>
      <c r="R686" s="98"/>
    </row>
    <row r="687" spans="1:18" ht="15" customHeight="1">
      <c r="A687" s="306" t="s">
        <v>188</v>
      </c>
      <c r="B687" s="306" t="s">
        <v>59</v>
      </c>
      <c r="C687" s="306"/>
      <c r="D687" s="45" t="s">
        <v>90</v>
      </c>
      <c r="E687" s="69">
        <v>0.821</v>
      </c>
      <c r="F687" s="98"/>
      <c r="G687" s="92" t="str">
        <f>CONCATENATE(D687," - ",E687,", ")</f>
        <v>2/core PVC Alumn. Cable scrap - 0.821, </v>
      </c>
      <c r="H687" s="309"/>
      <c r="I687" s="98" t="str">
        <f ca="1">IF(J686&gt;=3,(MID(I686,2,1)&amp;MID(I686,4,3)-K686),CELL("address",Z687))</f>
        <v>G688</v>
      </c>
      <c r="J687" s="98" t="str">
        <f ca="1">IF(J686&gt;=4,(MID(I687,1,1)&amp;MID(I687,2,3)+1),CELL("address",AA687))</f>
        <v>G689</v>
      </c>
      <c r="K687" s="98" t="str">
        <f ca="1">IF(J686&gt;=5,(MID(J687,1,1)&amp;MID(J687,2,3)+1),CELL("address",AB687))</f>
        <v>G690</v>
      </c>
      <c r="L687" s="98" t="str">
        <f ca="1">IF(J686&gt;=6,(MID(K687,1,1)&amp;MID(K687,2,3)+1),CELL("address",AC687))</f>
        <v>G691</v>
      </c>
      <c r="M687" s="98" t="str">
        <f ca="1">IF(J686&gt;=7,(MID(L687,1,1)&amp;MID(L687,2,3)+1),CELL("address",AD687))</f>
        <v>$AD$687</v>
      </c>
      <c r="N687" s="98" t="str">
        <f ca="1">IF(J686&gt;=8,(MID(M687,1,1)&amp;MID(M687,2,3)+1),CELL("address",AE687))</f>
        <v>$AE$687</v>
      </c>
      <c r="O687" s="98" t="str">
        <f ca="1">IF(J686&gt;=9,(MID(N687,1,1)&amp;MID(N687,2,3)+1),CELL("address",AF687))</f>
        <v>$AF$687</v>
      </c>
      <c r="P687" s="98" t="str">
        <f ca="1">IF(J686&gt;=10,(MID(O687,1,1)&amp;MID(O687,2,3)+1),CELL("address",AG687))</f>
        <v>$AG$687</v>
      </c>
      <c r="Q687" s="98" t="str">
        <f ca="1">IF(J686&gt;=11,(MID(P687,1,1)&amp;MID(P687,2,3)+1),CELL("address",AH687))</f>
        <v>$AH$687</v>
      </c>
      <c r="R687" s="98" t="str">
        <f ca="1">IF(J686&gt;=12,(MID(Q687,1,1)&amp;MID(Q687,2,3)+1),CELL("address",AI687))</f>
        <v>$AI$687</v>
      </c>
    </row>
    <row r="688" spans="1:15" ht="15" customHeight="1">
      <c r="A688" s="306"/>
      <c r="B688" s="306"/>
      <c r="C688" s="306"/>
      <c r="D688" s="45" t="s">
        <v>91</v>
      </c>
      <c r="E688" s="69">
        <v>2.131</v>
      </c>
      <c r="F688" s="98"/>
      <c r="G688" s="92" t="str">
        <f>CONCATENATE(D688," - ",E688,", ")</f>
        <v>4/core PVC Alumn. Cable scrap - 2.131, </v>
      </c>
      <c r="H688" s="98"/>
      <c r="I688" s="98" t="e">
        <f ca="1">IF(G687&gt;=6,(MID(H688,1,1)&amp;MID(H688,2,3)+1),CELL("address",Z688))</f>
        <v>#VALUE!</v>
      </c>
      <c r="J688" s="98" t="e">
        <f ca="1">IF(G687&gt;=7,(MID(I688,1,1)&amp;MID(I688,2,3)+1),CELL("address",AA688))</f>
        <v>#VALUE!</v>
      </c>
      <c r="K688" s="98" t="e">
        <f ca="1">IF(G687&gt;=8,(MID(J688,1,1)&amp;MID(J688,2,3)+1),CELL("address",AB688))</f>
        <v>#VALUE!</v>
      </c>
      <c r="L688" s="98" t="e">
        <f ca="1">IF(G687&gt;=9,(MID(K688,1,1)&amp;MID(K688,2,3)+1),CELL("address",AC688))</f>
        <v>#VALUE!</v>
      </c>
      <c r="M688" s="98" t="e">
        <f ca="1">IF(G687&gt;=10,(MID(L688,1,1)&amp;MID(L688,2,3)+1),CELL("address",AD688))</f>
        <v>#VALUE!</v>
      </c>
      <c r="N688" s="98" t="e">
        <f ca="1">IF(G687&gt;=11,(MID(M688,1,1)&amp;MID(M688,2,3)+1),CELL("address",AE688))</f>
        <v>#VALUE!</v>
      </c>
      <c r="O688" s="98" t="e">
        <f ca="1">IF(G687&gt;=12,(MID(N688,1,1)&amp;MID(N688,2,3)+1),CELL("address",AF688))</f>
        <v>#VALUE!</v>
      </c>
    </row>
    <row r="689" spans="1:8" ht="15" customHeight="1">
      <c r="A689" s="306"/>
      <c r="B689" s="306"/>
      <c r="C689" s="306"/>
      <c r="D689" s="45" t="s">
        <v>92</v>
      </c>
      <c r="E689" s="69">
        <v>1.881</v>
      </c>
      <c r="G689" s="92" t="str">
        <f>CONCATENATE(D689," - ",E689,", ")</f>
        <v>3/ core XLPE Alu cable scrap - 1.881, </v>
      </c>
      <c r="H689" s="1"/>
    </row>
    <row r="690" spans="1:8" ht="15" customHeight="1">
      <c r="A690" s="306"/>
      <c r="B690" s="306"/>
      <c r="C690" s="306"/>
      <c r="D690" s="45" t="s">
        <v>168</v>
      </c>
      <c r="E690" s="171">
        <v>0.09</v>
      </c>
      <c r="G690" s="92" t="str">
        <f>CONCATENATE(D690," - ",E690,", ")</f>
        <v>ABC cable scrap (70/95 mm) - 0.09, </v>
      </c>
      <c r="H690" s="1"/>
    </row>
    <row r="691" spans="1:8" ht="15" customHeight="1">
      <c r="A691" s="39"/>
      <c r="B691" s="41"/>
      <c r="C691" s="42"/>
      <c r="D691" s="76"/>
      <c r="E691" s="172"/>
      <c r="H691" s="1"/>
    </row>
    <row r="692" spans="1:8" ht="15" customHeight="1">
      <c r="A692" s="39"/>
      <c r="B692" s="259"/>
      <c r="C692" s="260"/>
      <c r="D692" s="216"/>
      <c r="E692" s="170">
        <f>SUM(E694:E697)</f>
        <v>13.115</v>
      </c>
      <c r="H692" s="1"/>
    </row>
    <row r="693" spans="1:18" ht="15" customHeight="1">
      <c r="A693" s="40" t="s">
        <v>5</v>
      </c>
      <c r="B693" s="304" t="s">
        <v>17</v>
      </c>
      <c r="C693" s="307"/>
      <c r="D693" s="210" t="s">
        <v>18</v>
      </c>
      <c r="E693" s="39" t="s">
        <v>7</v>
      </c>
      <c r="G693" s="93" t="str">
        <f>CONCATENATE("Cable Scrap, Lying at ",B694,". Quantity in MT - ")</f>
        <v>Cable Scrap, Lying at CS Kotkapura. Quantity in MT - </v>
      </c>
      <c r="H693" s="309" t="str">
        <f ca="1">CONCATENATE(G693,G694,(INDIRECT(I694)),(INDIRECT(J694)),(INDIRECT(K694)),(INDIRECT(L694)),(INDIRECT(M694)),(INDIRECT(N694)),(INDIRECT(O694)),(INDIRECT(P694)),(INDIRECT(Q694)),(INDIRECT(R694)))</f>
        <v>Cable Scrap, Lying at CS Kotkapura. Quantity in MT - 2/core PVC Alumn. Cable scrap - 1.616, 4/core PVC Alumn. Cable scrap - 3.056, 3/ core XLPE Alu cable scrap - 8.362, 1/ core XLPE Alu cable scrap - 0.081, </v>
      </c>
      <c r="I693" s="98" t="str">
        <f aca="true" ca="1" t="array" ref="I693">CELL("address",INDEX(G693:G718,MATCH(TRUE,ISBLANK(G693:G718),0)))</f>
        <v>$G$698</v>
      </c>
      <c r="J693" s="98">
        <f aca="true" t="array" ref="J693">MATCH(TRUE,ISBLANK(G693:G718),0)</f>
        <v>6</v>
      </c>
      <c r="K693" s="98">
        <f>J693-3</f>
        <v>3</v>
      </c>
      <c r="L693" s="98"/>
      <c r="M693" s="98"/>
      <c r="N693" s="98"/>
      <c r="O693" s="98"/>
      <c r="P693" s="98"/>
      <c r="Q693" s="98"/>
      <c r="R693" s="98"/>
    </row>
    <row r="694" spans="1:18" ht="15" customHeight="1">
      <c r="A694" s="306" t="s">
        <v>190</v>
      </c>
      <c r="B694" s="306" t="s">
        <v>43</v>
      </c>
      <c r="C694" s="306"/>
      <c r="D694" s="45" t="s">
        <v>90</v>
      </c>
      <c r="E694" s="69">
        <v>1.616</v>
      </c>
      <c r="F694" s="98"/>
      <c r="G694" s="92" t="str">
        <f>CONCATENATE(D694," - ",E694,", ")</f>
        <v>2/core PVC Alumn. Cable scrap - 1.616, </v>
      </c>
      <c r="H694" s="309"/>
      <c r="I694" s="98" t="str">
        <f ca="1">IF(J693&gt;=3,(MID(I693,2,1)&amp;MID(I693,4,3)-K693),CELL("address",Z694))</f>
        <v>G695</v>
      </c>
      <c r="J694" s="98" t="str">
        <f ca="1">IF(J693&gt;=4,(MID(I694,1,1)&amp;MID(I694,2,3)+1),CELL("address",AA694))</f>
        <v>G696</v>
      </c>
      <c r="K694" s="98" t="str">
        <f ca="1">IF(J693&gt;=5,(MID(J694,1,1)&amp;MID(J694,2,3)+1),CELL("address",AB694))</f>
        <v>G697</v>
      </c>
      <c r="L694" s="98" t="str">
        <f ca="1">IF(J693&gt;=6,(MID(K694,1,1)&amp;MID(K694,2,3)+1),CELL("address",AC694))</f>
        <v>G698</v>
      </c>
      <c r="M694" s="98" t="str">
        <f ca="1">IF(J693&gt;=7,(MID(L694,1,1)&amp;MID(L694,2,3)+1),CELL("address",AD694))</f>
        <v>$AD$694</v>
      </c>
      <c r="N694" s="98" t="str">
        <f ca="1">IF(J693&gt;=8,(MID(M694,1,1)&amp;MID(M694,2,3)+1),CELL("address",AE694))</f>
        <v>$AE$694</v>
      </c>
      <c r="O694" s="98" t="str">
        <f ca="1">IF(J693&gt;=9,(MID(N694,1,1)&amp;MID(N694,2,3)+1),CELL("address",AF694))</f>
        <v>$AF$694</v>
      </c>
      <c r="P694" s="98" t="str">
        <f ca="1">IF(J693&gt;=10,(MID(O694,1,1)&amp;MID(O694,2,3)+1),CELL("address",AG694))</f>
        <v>$AG$694</v>
      </c>
      <c r="Q694" s="98" t="str">
        <f ca="1">IF(J693&gt;=11,(MID(P694,1,1)&amp;MID(P694,2,3)+1),CELL("address",AH694))</f>
        <v>$AH$694</v>
      </c>
      <c r="R694" s="98" t="str">
        <f ca="1">IF(J693&gt;=12,(MID(Q694,1,1)&amp;MID(Q694,2,3)+1),CELL("address",AI694))</f>
        <v>$AI$694</v>
      </c>
    </row>
    <row r="695" spans="1:15" ht="15" customHeight="1">
      <c r="A695" s="306"/>
      <c r="B695" s="306"/>
      <c r="C695" s="306"/>
      <c r="D695" s="45" t="s">
        <v>91</v>
      </c>
      <c r="E695" s="69">
        <v>3.056</v>
      </c>
      <c r="F695" s="98"/>
      <c r="G695" s="92" t="str">
        <f>CONCATENATE(D695," - ",E695,", ")</f>
        <v>4/core PVC Alumn. Cable scrap - 3.056, </v>
      </c>
      <c r="H695" s="98"/>
      <c r="I695" s="98" t="e">
        <f ca="1">IF(G694&gt;=6,(MID(H695,1,1)&amp;MID(H695,2,3)+1),CELL("address",Z695))</f>
        <v>#VALUE!</v>
      </c>
      <c r="J695" s="98" t="e">
        <f ca="1">IF(G694&gt;=7,(MID(I695,1,1)&amp;MID(I695,2,3)+1),CELL("address",AA695))</f>
        <v>#VALUE!</v>
      </c>
      <c r="K695" s="98" t="e">
        <f ca="1">IF(G694&gt;=8,(MID(J695,1,1)&amp;MID(J695,2,3)+1),CELL("address",AB695))</f>
        <v>#VALUE!</v>
      </c>
      <c r="L695" s="98" t="e">
        <f ca="1">IF(G694&gt;=9,(MID(K695,1,1)&amp;MID(K695,2,3)+1),CELL("address",AC695))</f>
        <v>#VALUE!</v>
      </c>
      <c r="M695" s="98" t="e">
        <f ca="1">IF(G694&gt;=10,(MID(L695,1,1)&amp;MID(L695,2,3)+1),CELL("address",AD695))</f>
        <v>#VALUE!</v>
      </c>
      <c r="N695" s="98" t="e">
        <f ca="1">IF(G694&gt;=11,(MID(M695,1,1)&amp;MID(M695,2,3)+1),CELL("address",AE695))</f>
        <v>#VALUE!</v>
      </c>
      <c r="O695" s="98" t="e">
        <f ca="1">IF(G694&gt;=12,(MID(N695,1,1)&amp;MID(N695,2,3)+1),CELL("address",AF695))</f>
        <v>#VALUE!</v>
      </c>
    </row>
    <row r="696" spans="1:8" ht="15" customHeight="1">
      <c r="A696" s="306"/>
      <c r="B696" s="306"/>
      <c r="C696" s="306"/>
      <c r="D696" s="45" t="s">
        <v>92</v>
      </c>
      <c r="E696" s="119">
        <v>8.362</v>
      </c>
      <c r="G696" s="92" t="str">
        <f>CONCATENATE(D696," - ",E696,", ")</f>
        <v>3/ core XLPE Alu cable scrap - 8.362, </v>
      </c>
      <c r="H696" s="1"/>
    </row>
    <row r="697" spans="1:8" ht="15" customHeight="1">
      <c r="A697" s="306"/>
      <c r="B697" s="306"/>
      <c r="C697" s="306"/>
      <c r="D697" s="45" t="s">
        <v>97</v>
      </c>
      <c r="E697" s="119">
        <v>0.081</v>
      </c>
      <c r="G697" s="92" t="str">
        <f>CONCATENATE(D697," - ",E697,", ")</f>
        <v>1/ core XLPE Alu cable scrap - 0.081, </v>
      </c>
      <c r="H697" s="1"/>
    </row>
    <row r="698" spans="1:8" ht="15" customHeight="1">
      <c r="A698" s="39"/>
      <c r="B698" s="41"/>
      <c r="C698" s="42"/>
      <c r="D698" s="34"/>
      <c r="E698" s="157"/>
      <c r="H698" s="1"/>
    </row>
    <row r="699" spans="1:8" ht="15" customHeight="1">
      <c r="A699" s="39"/>
      <c r="B699" s="259"/>
      <c r="C699" s="260"/>
      <c r="D699" s="216"/>
      <c r="E699" s="170">
        <f>SUM(E701:E704)</f>
        <v>4.889</v>
      </c>
      <c r="H699" s="1"/>
    </row>
    <row r="700" spans="1:18" ht="15" customHeight="1">
      <c r="A700" s="40" t="s">
        <v>5</v>
      </c>
      <c r="B700" s="304" t="s">
        <v>17</v>
      </c>
      <c r="C700" s="307"/>
      <c r="D700" s="210" t="s">
        <v>18</v>
      </c>
      <c r="E700" s="39" t="s">
        <v>7</v>
      </c>
      <c r="G700" s="93" t="str">
        <f>CONCATENATE("Cable Scrap, Lying at ",B701,". Quantity in MT - ")</f>
        <v>Cable Scrap, Lying at OL Patran. Quantity in MT - </v>
      </c>
      <c r="H700" s="309" t="str">
        <f ca="1">CONCATENATE(G700,G701,(INDIRECT(I701)),(INDIRECT(J701)),(INDIRECT(K701)),(INDIRECT(L701)),(INDIRECT(M701)),(INDIRECT(N701)),(INDIRECT(O701)),(INDIRECT(P701)),(INDIRECT(Q701)),(INDIRECT(R701)))</f>
        <v>Cable Scrap, Lying at OL Patran. Quantity in MT - 2/core PVC Alumn. Cable scrap - 0.791, 4/core PVC Alumn. Cable scrap - 1.325, 3/ core XLPE Alu cable scrap - 2.508, ABC cable scrap (150 mm) - 0.265, </v>
      </c>
      <c r="I700" s="98" t="str">
        <f aca="true" ca="1" t="array" ref="I700">CELL("address",INDEX(G700:G725,MATCH(TRUE,ISBLANK(G700:G725),0)))</f>
        <v>$G$705</v>
      </c>
      <c r="J700" s="98">
        <f aca="true" t="array" ref="J700">MATCH(TRUE,ISBLANK(G700:G725),0)</f>
        <v>6</v>
      </c>
      <c r="K700" s="98">
        <f>J700-3</f>
        <v>3</v>
      </c>
      <c r="L700" s="98"/>
      <c r="M700" s="98"/>
      <c r="N700" s="98"/>
      <c r="O700" s="98"/>
      <c r="P700" s="98"/>
      <c r="Q700" s="98"/>
      <c r="R700" s="98"/>
    </row>
    <row r="701" spans="1:18" ht="15" customHeight="1">
      <c r="A701" s="306" t="s">
        <v>167</v>
      </c>
      <c r="B701" s="306" t="s">
        <v>102</v>
      </c>
      <c r="C701" s="306"/>
      <c r="D701" s="45" t="s">
        <v>90</v>
      </c>
      <c r="E701" s="69">
        <v>0.791</v>
      </c>
      <c r="F701" s="98"/>
      <c r="G701" s="92" t="str">
        <f>CONCATENATE(D701," - ",E701,", ")</f>
        <v>2/core PVC Alumn. Cable scrap - 0.791, </v>
      </c>
      <c r="H701" s="309"/>
      <c r="I701" s="98" t="str">
        <f ca="1">IF(J700&gt;=3,(MID(I700,2,1)&amp;MID(I700,4,3)-K700),CELL("address",Z701))</f>
        <v>G702</v>
      </c>
      <c r="J701" s="98" t="str">
        <f ca="1">IF(J700&gt;=4,(MID(I701,1,1)&amp;MID(I701,2,3)+1),CELL("address",AA701))</f>
        <v>G703</v>
      </c>
      <c r="K701" s="98" t="str">
        <f ca="1">IF(J700&gt;=5,(MID(J701,1,1)&amp;MID(J701,2,3)+1),CELL("address",AB701))</f>
        <v>G704</v>
      </c>
      <c r="L701" s="98" t="str">
        <f ca="1">IF(J700&gt;=6,(MID(K701,1,1)&amp;MID(K701,2,3)+1),CELL("address",AC701))</f>
        <v>G705</v>
      </c>
      <c r="M701" s="98" t="str">
        <f ca="1">IF(J700&gt;=7,(MID(L701,1,1)&amp;MID(L701,2,3)+1),CELL("address",AD701))</f>
        <v>$AD$701</v>
      </c>
      <c r="N701" s="98" t="str">
        <f ca="1">IF(J700&gt;=8,(MID(M701,1,1)&amp;MID(M701,2,3)+1),CELL("address",AE701))</f>
        <v>$AE$701</v>
      </c>
      <c r="O701" s="98" t="str">
        <f ca="1">IF(J700&gt;=9,(MID(N701,1,1)&amp;MID(N701,2,3)+1),CELL("address",AF701))</f>
        <v>$AF$701</v>
      </c>
      <c r="P701" s="98" t="str">
        <f ca="1">IF(J700&gt;=10,(MID(O701,1,1)&amp;MID(O701,2,3)+1),CELL("address",AG701))</f>
        <v>$AG$701</v>
      </c>
      <c r="Q701" s="98" t="str">
        <f ca="1">IF(J700&gt;=11,(MID(P701,1,1)&amp;MID(P701,2,3)+1),CELL("address",AH701))</f>
        <v>$AH$701</v>
      </c>
      <c r="R701" s="98" t="str">
        <f ca="1">IF(J700&gt;=12,(MID(Q701,1,1)&amp;MID(Q701,2,3)+1),CELL("address",AI701))</f>
        <v>$AI$701</v>
      </c>
    </row>
    <row r="702" spans="1:15" ht="15" customHeight="1">
      <c r="A702" s="306"/>
      <c r="B702" s="306"/>
      <c r="C702" s="306"/>
      <c r="D702" s="45" t="s">
        <v>91</v>
      </c>
      <c r="E702" s="69">
        <v>1.325</v>
      </c>
      <c r="F702" s="98"/>
      <c r="G702" s="92" t="str">
        <f>CONCATENATE(D702," - ",E702,", ")</f>
        <v>4/core PVC Alumn. Cable scrap - 1.325, </v>
      </c>
      <c r="H702" s="98"/>
      <c r="I702" s="98" t="e">
        <f ca="1">IF(G701&gt;=6,(MID(H702,1,1)&amp;MID(H702,2,3)+1),CELL("address",Z702))</f>
        <v>#VALUE!</v>
      </c>
      <c r="J702" s="98" t="e">
        <f ca="1">IF(G701&gt;=7,(MID(I702,1,1)&amp;MID(I702,2,3)+1),CELL("address",AA702))</f>
        <v>#VALUE!</v>
      </c>
      <c r="K702" s="98" t="e">
        <f ca="1">IF(G701&gt;=8,(MID(J702,1,1)&amp;MID(J702,2,3)+1),CELL("address",AB702))</f>
        <v>#VALUE!</v>
      </c>
      <c r="L702" s="98" t="e">
        <f ca="1">IF(G701&gt;=9,(MID(K702,1,1)&amp;MID(K702,2,3)+1),CELL("address",AC702))</f>
        <v>#VALUE!</v>
      </c>
      <c r="M702" s="98" t="e">
        <f ca="1">IF(G701&gt;=10,(MID(L702,1,1)&amp;MID(L702,2,3)+1),CELL("address",AD702))</f>
        <v>#VALUE!</v>
      </c>
      <c r="N702" s="98" t="e">
        <f ca="1">IF(G701&gt;=11,(MID(M702,1,1)&amp;MID(M702,2,3)+1),CELL("address",AE702))</f>
        <v>#VALUE!</v>
      </c>
      <c r="O702" s="98" t="e">
        <f ca="1">IF(G701&gt;=12,(MID(N702,1,1)&amp;MID(N702,2,3)+1),CELL("address",AF702))</f>
        <v>#VALUE!</v>
      </c>
    </row>
    <row r="703" spans="1:8" ht="15" customHeight="1">
      <c r="A703" s="306"/>
      <c r="B703" s="306"/>
      <c r="C703" s="306"/>
      <c r="D703" s="45" t="s">
        <v>92</v>
      </c>
      <c r="E703" s="69">
        <v>2.508</v>
      </c>
      <c r="G703" s="92" t="str">
        <f>CONCATENATE(D703," - ",E703,", ")</f>
        <v>3/ core XLPE Alu cable scrap - 2.508, </v>
      </c>
      <c r="H703" s="1"/>
    </row>
    <row r="704" spans="1:8" ht="15" customHeight="1">
      <c r="A704" s="306"/>
      <c r="B704" s="306"/>
      <c r="C704" s="306"/>
      <c r="D704" s="45" t="s">
        <v>244</v>
      </c>
      <c r="E704" s="69">
        <v>0.265</v>
      </c>
      <c r="G704" s="92" t="str">
        <f>CONCATENATE(D704," - ",E704,", ")</f>
        <v>ABC cable scrap (150 mm) - 0.265, </v>
      </c>
      <c r="H704" s="1"/>
    </row>
    <row r="705" spans="1:8" ht="15" customHeight="1">
      <c r="A705" s="39"/>
      <c r="B705" s="41"/>
      <c r="C705" s="42"/>
      <c r="D705" s="34"/>
      <c r="E705" s="157"/>
      <c r="H705" s="1"/>
    </row>
    <row r="706" spans="1:8" ht="15" customHeight="1">
      <c r="A706" s="39"/>
      <c r="B706" s="48"/>
      <c r="C706" s="258"/>
      <c r="D706" s="214"/>
      <c r="E706" s="173">
        <f>SUM(E708:E713)</f>
        <v>4.734</v>
      </c>
      <c r="F706" s="120"/>
      <c r="H706" s="1"/>
    </row>
    <row r="707" spans="1:18" ht="15" customHeight="1">
      <c r="A707" s="40" t="s">
        <v>5</v>
      </c>
      <c r="B707" s="304" t="s">
        <v>17</v>
      </c>
      <c r="C707" s="307"/>
      <c r="D707" s="210" t="s">
        <v>18</v>
      </c>
      <c r="E707" s="39" t="s">
        <v>7</v>
      </c>
      <c r="G707" s="93" t="str">
        <f>CONCATENATE("Cable Scrap, Lying at ",B708,". Quantity in MT - ")</f>
        <v>Cable Scrap, Lying at OL Ropar. Quantity in MT - </v>
      </c>
      <c r="H707" s="309" t="str">
        <f ca="1">CONCATENATE(G707,G708,(INDIRECT(I708)),(INDIRECT(J708)),(INDIRECT(K708)),(INDIRECT(L708)),(INDIRECT(M708)),(INDIRECT(N708)),(INDIRECT(O708)),(INDIRECT(P708)),(INDIRECT(Q708)),(INDIRECT(R708)))</f>
        <v>Cable Scrap, Lying at OL Ropar. Quantity in MT - 2/core PVC Alumn. Cable scrap - 0.788, 4/core PVC Alumn. Cable scrap - 0.812, 3/ core XLPE Alu cable scrap - 2.231, 1/core PVC Alumn. Cable scrap - 0.087, Alu.  seals scrap with lash wire - 0.066, 1/ core XLPE Alu cable scrap - 0.75, </v>
      </c>
      <c r="I707" s="98" t="str">
        <f aca="true" ca="1" t="array" ref="I707">CELL("address",INDEX(G707:G732,MATCH(TRUE,ISBLANK(G707:G732),0)))</f>
        <v>$G$714</v>
      </c>
      <c r="J707" s="98">
        <f aca="true" t="array" ref="J707">MATCH(TRUE,ISBLANK(G707:G732),0)</f>
        <v>8</v>
      </c>
      <c r="K707" s="98">
        <f>J707-3</f>
        <v>5</v>
      </c>
      <c r="L707" s="98"/>
      <c r="M707" s="98"/>
      <c r="N707" s="98"/>
      <c r="O707" s="98"/>
      <c r="P707" s="98"/>
      <c r="Q707" s="98"/>
      <c r="R707" s="98"/>
    </row>
    <row r="708" spans="1:18" ht="15" customHeight="1">
      <c r="A708" s="306" t="s">
        <v>169</v>
      </c>
      <c r="B708" s="306" t="s">
        <v>98</v>
      </c>
      <c r="C708" s="306"/>
      <c r="D708" s="45" t="s">
        <v>90</v>
      </c>
      <c r="E708" s="119">
        <v>0.788</v>
      </c>
      <c r="G708" s="92" t="str">
        <f aca="true" t="shared" si="2" ref="G708:G713">CONCATENATE(D708," - ",E708,", ")</f>
        <v>2/core PVC Alumn. Cable scrap - 0.788, </v>
      </c>
      <c r="H708" s="309"/>
      <c r="I708" s="98" t="str">
        <f ca="1">IF(J707&gt;=3,(MID(I707,2,1)&amp;MID(I707,4,3)-K707),CELL("address",Z708))</f>
        <v>G709</v>
      </c>
      <c r="J708" s="98" t="str">
        <f ca="1">IF(J707&gt;=4,(MID(I708,1,1)&amp;MID(I708,2,3)+1),CELL("address",AA708))</f>
        <v>G710</v>
      </c>
      <c r="K708" s="98" t="str">
        <f ca="1">IF(J707&gt;=5,(MID(J708,1,1)&amp;MID(J708,2,3)+1),CELL("address",AB708))</f>
        <v>G711</v>
      </c>
      <c r="L708" s="98" t="str">
        <f ca="1">IF(J707&gt;=6,(MID(K708,1,1)&amp;MID(K708,2,3)+1),CELL("address",AC708))</f>
        <v>G712</v>
      </c>
      <c r="M708" s="98" t="str">
        <f ca="1">IF(J707&gt;=7,(MID(L708,1,1)&amp;MID(L708,2,3)+1),CELL("address",AD708))</f>
        <v>G713</v>
      </c>
      <c r="N708" s="98" t="str">
        <f ca="1">IF(J707&gt;=8,(MID(M708,1,1)&amp;MID(M708,2,3)+1),CELL("address",AE708))</f>
        <v>G714</v>
      </c>
      <c r="O708" s="98" t="str">
        <f ca="1">IF(J707&gt;=9,(MID(N708,1,1)&amp;MID(N708,2,3)+1),CELL("address",AF708))</f>
        <v>$AF$708</v>
      </c>
      <c r="P708" s="98" t="str">
        <f ca="1">IF(J707&gt;=10,(MID(O708,1,1)&amp;MID(O708,2,3)+1),CELL("address",AG708))</f>
        <v>$AG$708</v>
      </c>
      <c r="Q708" s="98" t="str">
        <f ca="1">IF(J707&gt;=11,(MID(P708,1,1)&amp;MID(P708,2,3)+1),CELL("address",AH708))</f>
        <v>$AH$708</v>
      </c>
      <c r="R708" s="98" t="str">
        <f ca="1">IF(J707&gt;=12,(MID(Q708,1,1)&amp;MID(Q708,2,3)+1),CELL("address",AI708))</f>
        <v>$AI$708</v>
      </c>
    </row>
    <row r="709" spans="1:15" ht="15" customHeight="1">
      <c r="A709" s="306"/>
      <c r="B709" s="306"/>
      <c r="C709" s="306"/>
      <c r="D709" s="45" t="s">
        <v>91</v>
      </c>
      <c r="E709" s="119">
        <v>0.812</v>
      </c>
      <c r="F709" s="98"/>
      <c r="G709" s="92" t="str">
        <f t="shared" si="2"/>
        <v>4/core PVC Alumn. Cable scrap - 0.812, </v>
      </c>
      <c r="H709" s="98"/>
      <c r="I709" s="98"/>
      <c r="J709" s="98"/>
      <c r="K709" s="98"/>
      <c r="L709" s="98"/>
      <c r="M709" s="98"/>
      <c r="N709" s="98"/>
      <c r="O709" s="98"/>
    </row>
    <row r="710" spans="1:15" ht="15" customHeight="1">
      <c r="A710" s="306"/>
      <c r="B710" s="306"/>
      <c r="C710" s="306"/>
      <c r="D710" s="45" t="s">
        <v>92</v>
      </c>
      <c r="E710" s="119">
        <v>2.231</v>
      </c>
      <c r="F710" s="98"/>
      <c r="G710" s="92" t="str">
        <f t="shared" si="2"/>
        <v>3/ core XLPE Alu cable scrap - 2.231, </v>
      </c>
      <c r="H710" s="98"/>
      <c r="I710" s="98" t="e">
        <f ca="1">IF(G709&gt;=6,(MID(H710,1,1)&amp;MID(H710,2,3)+1),CELL("address",Z710))</f>
        <v>#VALUE!</v>
      </c>
      <c r="J710" s="98" t="e">
        <f ca="1">IF(G709&gt;=7,(MID(I710,1,1)&amp;MID(I710,2,3)+1),CELL("address",AA710))</f>
        <v>#VALUE!</v>
      </c>
      <c r="K710" s="98" t="e">
        <f ca="1">IF(G709&gt;=8,(MID(J710,1,1)&amp;MID(J710,2,3)+1),CELL("address",AB710))</f>
        <v>#VALUE!</v>
      </c>
      <c r="L710" s="98" t="e">
        <f ca="1">IF(G709&gt;=9,(MID(K710,1,1)&amp;MID(K710,2,3)+1),CELL("address",AC710))</f>
        <v>#VALUE!</v>
      </c>
      <c r="M710" s="98" t="e">
        <f ca="1">IF(G709&gt;=10,(MID(L710,1,1)&amp;MID(L710,2,3)+1),CELL("address",AD710))</f>
        <v>#VALUE!</v>
      </c>
      <c r="N710" s="98" t="e">
        <f ca="1">IF(G709&gt;=11,(MID(M710,1,1)&amp;MID(M710,2,3)+1),CELL("address",AE710))</f>
        <v>#VALUE!</v>
      </c>
      <c r="O710" s="98" t="e">
        <f ca="1">IF(G709&gt;=12,(MID(N710,1,1)&amp;MID(N710,2,3)+1),CELL("address",AF710))</f>
        <v>#VALUE!</v>
      </c>
    </row>
    <row r="711" spans="1:8" ht="15" customHeight="1">
      <c r="A711" s="306"/>
      <c r="B711" s="306"/>
      <c r="C711" s="306"/>
      <c r="D711" s="45" t="s">
        <v>171</v>
      </c>
      <c r="E711" s="119">
        <v>0.087</v>
      </c>
      <c r="G711" s="92" t="str">
        <f t="shared" si="2"/>
        <v>1/core PVC Alumn. Cable scrap - 0.087, </v>
      </c>
      <c r="H711" s="1"/>
    </row>
    <row r="712" spans="1:8" ht="15" customHeight="1">
      <c r="A712" s="306"/>
      <c r="B712" s="306"/>
      <c r="C712" s="306"/>
      <c r="D712" s="45" t="s">
        <v>320</v>
      </c>
      <c r="E712" s="119">
        <v>0.066</v>
      </c>
      <c r="G712" s="92" t="str">
        <f t="shared" si="2"/>
        <v>Alu.  seals scrap with lash wire - 0.066, </v>
      </c>
      <c r="H712" s="1"/>
    </row>
    <row r="713" spans="1:8" ht="15" customHeight="1">
      <c r="A713" s="306"/>
      <c r="B713" s="306"/>
      <c r="C713" s="306"/>
      <c r="D713" s="45" t="s">
        <v>97</v>
      </c>
      <c r="E713" s="119">
        <v>0.75</v>
      </c>
      <c r="G713" s="92" t="str">
        <f t="shared" si="2"/>
        <v>1/ core XLPE Alu cable scrap - 0.75, </v>
      </c>
      <c r="H713" s="1"/>
    </row>
    <row r="714" spans="1:8" ht="15" customHeight="1">
      <c r="A714" s="39"/>
      <c r="B714" s="41"/>
      <c r="C714" s="42"/>
      <c r="D714" s="34"/>
      <c r="E714" s="157"/>
      <c r="H714" s="1"/>
    </row>
    <row r="715" spans="1:8" ht="15" customHeight="1">
      <c r="A715" s="39"/>
      <c r="B715" s="48"/>
      <c r="C715" s="258"/>
      <c r="D715" s="214"/>
      <c r="E715" s="173">
        <f>SUM(E717:E719)</f>
        <v>8.059000000000001</v>
      </c>
      <c r="H715" s="1"/>
    </row>
    <row r="716" spans="1:18" ht="15" customHeight="1">
      <c r="A716" s="40" t="s">
        <v>5</v>
      </c>
      <c r="B716" s="304" t="s">
        <v>17</v>
      </c>
      <c r="C716" s="307"/>
      <c r="D716" s="210" t="s">
        <v>18</v>
      </c>
      <c r="E716" s="39" t="s">
        <v>7</v>
      </c>
      <c r="F716" s="98"/>
      <c r="G716" s="93" t="str">
        <f>CONCATENATE("Cable Scrap, Lying at ",B717,". Quantity in MT - ")</f>
        <v>Cable Scrap, Lying at CS Malout. Quantity in MT - </v>
      </c>
      <c r="H716" s="309" t="str">
        <f ca="1">CONCATENATE(G716,G717,(INDIRECT(I717)),(INDIRECT(J717)),(INDIRECT(K717)),(INDIRECT(L717)),(INDIRECT(M717)),(INDIRECT(N717)),(INDIRECT(O717)),(INDIRECT(P717)),(INDIRECT(Q717)),(INDIRECT(R717)))</f>
        <v>Cable Scrap, Lying at CS Malout. Quantity in MT - 2/core PVC Alumn. Cable scrap - 1.4, 4/core PVC Alumn. Cable scrap - 1.941, 3/ core XLPE Alu cable scrap - 4.718, </v>
      </c>
      <c r="I716" s="98" t="str">
        <f aca="true" ca="1" t="array" ref="I716">CELL("address",INDEX(G716:G740,MATCH(TRUE,ISBLANK(G716:G740),0)))</f>
        <v>$G$720</v>
      </c>
      <c r="J716" s="98">
        <f aca="true" t="array" ref="J716">MATCH(TRUE,ISBLANK(G716:G740),0)</f>
        <v>5</v>
      </c>
      <c r="K716" s="98">
        <f>J716-3</f>
        <v>2</v>
      </c>
      <c r="L716" s="98"/>
      <c r="M716" s="98"/>
      <c r="N716" s="98"/>
      <c r="O716" s="98"/>
      <c r="P716" s="98"/>
      <c r="Q716" s="98"/>
      <c r="R716" s="98"/>
    </row>
    <row r="717" spans="1:18" ht="15" customHeight="1">
      <c r="A717" s="306" t="s">
        <v>170</v>
      </c>
      <c r="B717" s="306" t="s">
        <v>95</v>
      </c>
      <c r="C717" s="306"/>
      <c r="D717" s="45" t="s">
        <v>90</v>
      </c>
      <c r="E717" s="119">
        <v>1.4</v>
      </c>
      <c r="F717" s="98"/>
      <c r="G717" s="92" t="str">
        <f>CONCATENATE(D717," - ",E717,", ")</f>
        <v>2/core PVC Alumn. Cable scrap - 1.4, </v>
      </c>
      <c r="H717" s="309"/>
      <c r="I717" s="98" t="str">
        <f ca="1">IF(J716&gt;=3,(MID(I716,2,1)&amp;MID(I716,4,3)-K716),CELL("address",Z717))</f>
        <v>G718</v>
      </c>
      <c r="J717" s="98" t="str">
        <f ca="1">IF(J716&gt;=4,(MID(I717,1,1)&amp;MID(I717,2,3)+1),CELL("address",AA717))</f>
        <v>G719</v>
      </c>
      <c r="K717" s="98" t="str">
        <f ca="1">IF(J716&gt;=5,(MID(J717,1,1)&amp;MID(J717,2,3)+1),CELL("address",AB717))</f>
        <v>G720</v>
      </c>
      <c r="L717" s="98" t="str">
        <f ca="1">IF(J716&gt;=6,(MID(K717,1,1)&amp;MID(K717,2,3)+1),CELL("address",AC717))</f>
        <v>$AC$717</v>
      </c>
      <c r="M717" s="98" t="str">
        <f ca="1">IF(J716&gt;=7,(MID(L717,1,1)&amp;MID(L717,2,3)+1),CELL("address",AD717))</f>
        <v>$AD$717</v>
      </c>
      <c r="N717" s="98" t="str">
        <f ca="1">IF(J716&gt;=8,(MID(M717,1,1)&amp;MID(M717,2,3)+1),CELL("address",AE717))</f>
        <v>$AE$717</v>
      </c>
      <c r="O717" s="98" t="str">
        <f ca="1">IF(J716&gt;=9,(MID(N717,1,1)&amp;MID(N717,2,3)+1),CELL("address",AF717))</f>
        <v>$AF$717</v>
      </c>
      <c r="P717" s="98" t="str">
        <f ca="1">IF(J716&gt;=10,(MID(O717,1,1)&amp;MID(O717,2,3)+1),CELL("address",AG717))</f>
        <v>$AG$717</v>
      </c>
      <c r="Q717" s="98" t="str">
        <f ca="1">IF(J716&gt;=11,(MID(P717,1,1)&amp;MID(P717,2,3)+1),CELL("address",AH717))</f>
        <v>$AH$717</v>
      </c>
      <c r="R717" s="98" t="str">
        <f ca="1">IF(J716&gt;=12,(MID(Q717,1,1)&amp;MID(Q717,2,3)+1),CELL("address",AI717))</f>
        <v>$AI$717</v>
      </c>
    </row>
    <row r="718" spans="1:8" ht="15" customHeight="1">
      <c r="A718" s="306"/>
      <c r="B718" s="306"/>
      <c r="C718" s="306"/>
      <c r="D718" s="45" t="s">
        <v>91</v>
      </c>
      <c r="E718" s="119">
        <v>1.941</v>
      </c>
      <c r="G718" s="92" t="str">
        <f>CONCATENATE(D718," - ",E718,", ")</f>
        <v>4/core PVC Alumn. Cable scrap - 1.941, </v>
      </c>
      <c r="H718" s="1"/>
    </row>
    <row r="719" spans="1:8" ht="15" customHeight="1">
      <c r="A719" s="306"/>
      <c r="B719" s="306"/>
      <c r="C719" s="306"/>
      <c r="D719" s="45" t="s">
        <v>92</v>
      </c>
      <c r="E719" s="119">
        <v>4.718</v>
      </c>
      <c r="G719" s="92" t="str">
        <f>CONCATENATE(D719," - ",E719,", ")</f>
        <v>3/ core XLPE Alu cable scrap - 4.718, </v>
      </c>
      <c r="H719" s="1"/>
    </row>
    <row r="720" spans="1:8" ht="15" customHeight="1">
      <c r="A720" s="39"/>
      <c r="B720" s="41"/>
      <c r="C720" s="42"/>
      <c r="D720" s="45"/>
      <c r="E720" s="119"/>
      <c r="H720" s="1"/>
    </row>
    <row r="721" spans="1:8" ht="15" customHeight="1">
      <c r="A721" s="39"/>
      <c r="B721" s="48"/>
      <c r="C721" s="258"/>
      <c r="D721" s="214"/>
      <c r="E721" s="173">
        <f>SUM(E723:E726)</f>
        <v>3.774</v>
      </c>
      <c r="H721" s="1"/>
    </row>
    <row r="722" spans="1:18" ht="15" customHeight="1">
      <c r="A722" s="40" t="s">
        <v>5</v>
      </c>
      <c r="B722" s="304" t="s">
        <v>17</v>
      </c>
      <c r="C722" s="307"/>
      <c r="D722" s="210" t="s">
        <v>18</v>
      </c>
      <c r="E722" s="39" t="s">
        <v>7</v>
      </c>
      <c r="G722" s="93" t="str">
        <f>CONCATENATE("Cable Scrap, Lying at ",B723,". Quantity in MT - ")</f>
        <v>Cable Scrap, Lying at OL Nabha. Quantity in MT - </v>
      </c>
      <c r="H722" s="309" t="str">
        <f ca="1">CONCATENATE(G722,G723,(INDIRECT(I723)),(INDIRECT(J723)),(INDIRECT(K723)),(INDIRECT(L723)),(INDIRECT(M723)),(INDIRECT(N723)),(INDIRECT(O723)),(INDIRECT(P723)),(INDIRECT(Q723)),(INDIRECT(R723)))</f>
        <v>Cable Scrap, Lying at OL Nabha. Quantity in MT - 2/core PVC Alumn. Cable scrap - 1.202, 4/core PVC Alumn. Cable scrap - 1.039, 3/ core XLPE Alu cable scrap - 1.493, ABC cable scrap (70/95 mm) - 0.04, </v>
      </c>
      <c r="I722" s="98" t="str">
        <f aca="true" ca="1" t="array" ref="I722">CELL("address",INDEX(G722:G746,MATCH(TRUE,ISBLANK(G722:G746),0)))</f>
        <v>$G$727</v>
      </c>
      <c r="J722" s="98">
        <f aca="true" t="array" ref="J722">MATCH(TRUE,ISBLANK(G722:G746),0)</f>
        <v>6</v>
      </c>
      <c r="K722" s="98">
        <f>J722-3</f>
        <v>3</v>
      </c>
      <c r="L722" s="98"/>
      <c r="M722" s="98"/>
      <c r="N722" s="98"/>
      <c r="O722" s="98"/>
      <c r="P722" s="98"/>
      <c r="Q722" s="98"/>
      <c r="R722" s="98"/>
    </row>
    <row r="723" spans="1:18" ht="15" customHeight="1">
      <c r="A723" s="306" t="s">
        <v>172</v>
      </c>
      <c r="B723" s="306" t="s">
        <v>104</v>
      </c>
      <c r="C723" s="306"/>
      <c r="D723" s="45" t="s">
        <v>90</v>
      </c>
      <c r="E723" s="119">
        <v>1.202</v>
      </c>
      <c r="F723" s="98"/>
      <c r="G723" s="92" t="str">
        <f>CONCATENATE(D723," - ",E723,", ")</f>
        <v>2/core PVC Alumn. Cable scrap - 1.202, </v>
      </c>
      <c r="H723" s="309"/>
      <c r="I723" s="98" t="str">
        <f ca="1">IF(J722&gt;=3,(MID(I722,2,1)&amp;MID(I722,4,3)-K722),CELL("address",Z723))</f>
        <v>G724</v>
      </c>
      <c r="J723" s="98" t="str">
        <f ca="1">IF(J722&gt;=4,(MID(I723,1,1)&amp;MID(I723,2,3)+1),CELL("address",AA723))</f>
        <v>G725</v>
      </c>
      <c r="K723" s="98" t="str">
        <f ca="1">IF(J722&gt;=5,(MID(J723,1,1)&amp;MID(J723,2,3)+1),CELL("address",AB723))</f>
        <v>G726</v>
      </c>
      <c r="L723" s="98" t="str">
        <f ca="1">IF(J722&gt;=6,(MID(K723,1,1)&amp;MID(K723,2,3)+1),CELL("address",AC723))</f>
        <v>G727</v>
      </c>
      <c r="M723" s="98" t="str">
        <f ca="1">IF(J722&gt;=7,(MID(L723,1,1)&amp;MID(L723,2,3)+1),CELL("address",AD723))</f>
        <v>$AD$723</v>
      </c>
      <c r="N723" s="98" t="str">
        <f ca="1">IF(J722&gt;=8,(MID(M723,1,1)&amp;MID(M723,2,3)+1),CELL("address",AE723))</f>
        <v>$AE$723</v>
      </c>
      <c r="O723" s="98" t="str">
        <f ca="1">IF(J722&gt;=9,(MID(N723,1,1)&amp;MID(N723,2,3)+1),CELL("address",AF723))</f>
        <v>$AF$723</v>
      </c>
      <c r="P723" s="98" t="str">
        <f ca="1">IF(J722&gt;=10,(MID(O723,1,1)&amp;MID(O723,2,3)+1),CELL("address",AG723))</f>
        <v>$AG$723</v>
      </c>
      <c r="Q723" s="98" t="str">
        <f ca="1">IF(J722&gt;=11,(MID(P723,1,1)&amp;MID(P723,2,3)+1),CELL("address",AH723))</f>
        <v>$AH$723</v>
      </c>
      <c r="R723" s="98" t="str">
        <f ca="1">IF(J722&gt;=12,(MID(Q723,1,1)&amp;MID(Q723,2,3)+1),CELL("address",AI723))</f>
        <v>$AI$723</v>
      </c>
    </row>
    <row r="724" spans="1:15" ht="15" customHeight="1">
      <c r="A724" s="306"/>
      <c r="B724" s="306"/>
      <c r="C724" s="306"/>
      <c r="D724" s="45" t="s">
        <v>91</v>
      </c>
      <c r="E724" s="119">
        <v>1.039</v>
      </c>
      <c r="F724" s="98"/>
      <c r="G724" s="92" t="str">
        <f>CONCATENATE(D724," - ",E724,", ")</f>
        <v>4/core PVC Alumn. Cable scrap - 1.039, </v>
      </c>
      <c r="H724" s="98"/>
      <c r="I724" s="98" t="e">
        <f ca="1">IF(G723&gt;=6,(MID(H724,1,1)&amp;MID(H724,2,3)+1),CELL("address",Z724))</f>
        <v>#VALUE!</v>
      </c>
      <c r="J724" s="98" t="e">
        <f ca="1">IF(G723&gt;=7,(MID(I724,1,1)&amp;MID(I724,2,3)+1),CELL("address",AA724))</f>
        <v>#VALUE!</v>
      </c>
      <c r="K724" s="98" t="e">
        <f ca="1">IF(G723&gt;=8,(MID(J724,1,1)&amp;MID(J724,2,3)+1),CELL("address",AB724))</f>
        <v>#VALUE!</v>
      </c>
      <c r="L724" s="98" t="e">
        <f ca="1">IF(G723&gt;=9,(MID(K724,1,1)&amp;MID(K724,2,3)+1),CELL("address",AC724))</f>
        <v>#VALUE!</v>
      </c>
      <c r="M724" s="98" t="e">
        <f ca="1">IF(G723&gt;=10,(MID(L724,1,1)&amp;MID(L724,2,3)+1),CELL("address",AD724))</f>
        <v>#VALUE!</v>
      </c>
      <c r="N724" s="98" t="e">
        <f ca="1">IF(G723&gt;=11,(MID(M724,1,1)&amp;MID(M724,2,3)+1),CELL("address",AE724))</f>
        <v>#VALUE!</v>
      </c>
      <c r="O724" s="98" t="e">
        <f ca="1">IF(G723&gt;=12,(MID(N724,1,1)&amp;MID(N724,2,3)+1),CELL("address",AF724))</f>
        <v>#VALUE!</v>
      </c>
    </row>
    <row r="725" spans="1:8" ht="15" customHeight="1">
      <c r="A725" s="306"/>
      <c r="B725" s="306"/>
      <c r="C725" s="306"/>
      <c r="D725" s="45" t="s">
        <v>92</v>
      </c>
      <c r="E725" s="119">
        <v>1.493</v>
      </c>
      <c r="G725" s="92" t="str">
        <f>CONCATENATE(D725," - ",E725,", ")</f>
        <v>3/ core XLPE Alu cable scrap - 1.493, </v>
      </c>
      <c r="H725" s="1"/>
    </row>
    <row r="726" spans="1:8" ht="15" customHeight="1">
      <c r="A726" s="306"/>
      <c r="B726" s="306"/>
      <c r="C726" s="306"/>
      <c r="D726" s="45" t="s">
        <v>168</v>
      </c>
      <c r="E726" s="119">
        <v>0.04</v>
      </c>
      <c r="G726" s="92" t="str">
        <f>CONCATENATE(D726," - ",E726,", ")</f>
        <v>ABC cable scrap (70/95 mm) - 0.04, </v>
      </c>
      <c r="H726" s="1"/>
    </row>
    <row r="727" spans="1:8" ht="15" customHeight="1">
      <c r="A727" s="39"/>
      <c r="B727" s="41"/>
      <c r="C727" s="42"/>
      <c r="D727" s="34"/>
      <c r="E727" s="157"/>
      <c r="H727" s="1"/>
    </row>
    <row r="728" spans="1:8" ht="15" customHeight="1">
      <c r="A728" s="39"/>
      <c r="B728" s="259"/>
      <c r="C728" s="260"/>
      <c r="D728" s="216"/>
      <c r="E728" s="170">
        <f>SUM(E730:E734)</f>
        <v>15.600000000000001</v>
      </c>
      <c r="H728" s="1"/>
    </row>
    <row r="729" spans="1:18" ht="15" customHeight="1">
      <c r="A729" s="40" t="s">
        <v>5</v>
      </c>
      <c r="B729" s="304" t="s">
        <v>17</v>
      </c>
      <c r="C729" s="307"/>
      <c r="D729" s="210" t="s">
        <v>18</v>
      </c>
      <c r="E729" s="39" t="s">
        <v>7</v>
      </c>
      <c r="G729" s="93" t="str">
        <f>CONCATENATE("Cable Scrap, Lying at ",B730,". Quantity in MT - ")</f>
        <v>Cable Scrap, Lying at CS Patiala. Quantity in MT - </v>
      </c>
      <c r="H729" s="309" t="str">
        <f ca="1">CONCATENATE(G729,G730,(INDIRECT(I730)),(INDIRECT(J730)),(INDIRECT(K730)),(INDIRECT(L730)),(INDIRECT(M730)),(INDIRECT(N730)),(INDIRECT(O730)),(INDIRECT(P730)),(INDIRECT(Q730)),(INDIRECT(R730)))</f>
        <v>Cable Scrap, Lying at CS Patiala. Quantity in MT - 1/core PVC Alumn. Cable scrap - 0.547, 2/core PVC Alumn. Cable scrap - 2.096, 4/core PVC Alumn. Cable scrap - 4.355, 3/ core XLPE Alu cable scrap - 3.2, ABC cable scrap (150 mm) - 5.402, </v>
      </c>
      <c r="I729" s="98" t="str">
        <f aca="true" ca="1" t="array" ref="I729">CELL("address",INDEX(G729:G753,MATCH(TRUE,ISBLANK(G729:G753),0)))</f>
        <v>$G$735</v>
      </c>
      <c r="J729" s="98">
        <f aca="true" t="array" ref="J729">MATCH(TRUE,ISBLANK(G729:G753),0)</f>
        <v>7</v>
      </c>
      <c r="K729" s="98">
        <f>J729-3</f>
        <v>4</v>
      </c>
      <c r="L729" s="98"/>
      <c r="M729" s="98"/>
      <c r="N729" s="98"/>
      <c r="O729" s="98"/>
      <c r="P729" s="98"/>
      <c r="Q729" s="98"/>
      <c r="R729" s="98"/>
    </row>
    <row r="730" spans="1:18" ht="15" customHeight="1">
      <c r="A730" s="306" t="s">
        <v>173</v>
      </c>
      <c r="B730" s="306" t="s">
        <v>52</v>
      </c>
      <c r="C730" s="306"/>
      <c r="D730" s="45" t="s">
        <v>171</v>
      </c>
      <c r="E730" s="39">
        <v>0.547</v>
      </c>
      <c r="G730" s="92" t="str">
        <f>CONCATENATE(D730," - ",E730,", ")</f>
        <v>1/core PVC Alumn. Cable scrap - 0.547, </v>
      </c>
      <c r="H730" s="309"/>
      <c r="I730" s="98" t="str">
        <f ca="1">IF(J729&gt;=3,(MID(I729,2,1)&amp;MID(I729,4,3)-K729),CELL("address",Z730))</f>
        <v>G731</v>
      </c>
      <c r="J730" s="98" t="str">
        <f ca="1">IF(J729&gt;=4,(MID(I730,1,1)&amp;MID(I730,2,3)+1),CELL("address",AA730))</f>
        <v>G732</v>
      </c>
      <c r="K730" s="98" t="str">
        <f ca="1">IF(J729&gt;=5,(MID(J730,1,1)&amp;MID(J730,2,3)+1),CELL("address",AB730))</f>
        <v>G733</v>
      </c>
      <c r="L730" s="98" t="str">
        <f ca="1">IF(J729&gt;=6,(MID(K730,1,1)&amp;MID(K730,2,3)+1),CELL("address",AC730))</f>
        <v>G734</v>
      </c>
      <c r="M730" s="98" t="str">
        <f ca="1">IF(J729&gt;=7,(MID(L730,1,1)&amp;MID(L730,2,3)+1),CELL("address",AD730))</f>
        <v>G735</v>
      </c>
      <c r="N730" s="98" t="str">
        <f ca="1">IF(J729&gt;=8,(MID(M730,1,1)&amp;MID(M730,2,3)+1),CELL("address",AE730))</f>
        <v>$AE$730</v>
      </c>
      <c r="O730" s="98" t="str">
        <f ca="1">IF(J729&gt;=9,(MID(N730,1,1)&amp;MID(N730,2,3)+1),CELL("address",AF730))</f>
        <v>$AF$730</v>
      </c>
      <c r="P730" s="98" t="str">
        <f ca="1">IF(J729&gt;=10,(MID(O730,1,1)&amp;MID(O730,2,3)+1),CELL("address",AG730))</f>
        <v>$AG$730</v>
      </c>
      <c r="Q730" s="98" t="str">
        <f ca="1">IF(J729&gt;=11,(MID(P730,1,1)&amp;MID(P730,2,3)+1),CELL("address",AH730))</f>
        <v>$AH$730</v>
      </c>
      <c r="R730" s="98" t="str">
        <f ca="1">IF(J729&gt;=12,(MID(Q730,1,1)&amp;MID(Q730,2,3)+1),CELL("address",AI730))</f>
        <v>$AI$730</v>
      </c>
    </row>
    <row r="731" spans="1:15" ht="15" customHeight="1">
      <c r="A731" s="306"/>
      <c r="B731" s="306"/>
      <c r="C731" s="306"/>
      <c r="D731" s="45" t="s">
        <v>90</v>
      </c>
      <c r="E731" s="69">
        <v>2.096</v>
      </c>
      <c r="F731" s="98"/>
      <c r="G731" s="92" t="str">
        <f>CONCATENATE(D731," - ",E731,", ")</f>
        <v>2/core PVC Alumn. Cable scrap - 2.096, </v>
      </c>
      <c r="H731" s="98"/>
      <c r="I731" s="98"/>
      <c r="J731" s="98"/>
      <c r="K731" s="98"/>
      <c r="L731" s="98"/>
      <c r="M731" s="98"/>
      <c r="N731" s="98"/>
      <c r="O731" s="98"/>
    </row>
    <row r="732" spans="1:15" ht="15" customHeight="1">
      <c r="A732" s="306"/>
      <c r="B732" s="306"/>
      <c r="C732" s="306"/>
      <c r="D732" s="45" t="s">
        <v>91</v>
      </c>
      <c r="E732" s="69">
        <v>4.355</v>
      </c>
      <c r="F732" s="98"/>
      <c r="G732" s="92" t="str">
        <f>CONCATENATE(D732," - ",E732,", ")</f>
        <v>4/core PVC Alumn. Cable scrap - 4.355, </v>
      </c>
      <c r="H732" s="98"/>
      <c r="I732" s="98" t="e">
        <f ca="1">IF(G731&gt;=6,(MID(H732,1,1)&amp;MID(H732,2,3)+1),CELL("address",Z732))</f>
        <v>#VALUE!</v>
      </c>
      <c r="J732" s="98" t="e">
        <f ca="1">IF(G731&gt;=7,(MID(I732,1,1)&amp;MID(I732,2,3)+1),CELL("address",AA732))</f>
        <v>#VALUE!</v>
      </c>
      <c r="K732" s="98" t="e">
        <f ca="1">IF(G731&gt;=8,(MID(J732,1,1)&amp;MID(J732,2,3)+1),CELL("address",AB732))</f>
        <v>#VALUE!</v>
      </c>
      <c r="L732" s="98" t="e">
        <f ca="1">IF(G731&gt;=9,(MID(K732,1,1)&amp;MID(K732,2,3)+1),CELL("address",AC732))</f>
        <v>#VALUE!</v>
      </c>
      <c r="M732" s="98" t="e">
        <f ca="1">IF(G731&gt;=10,(MID(L732,1,1)&amp;MID(L732,2,3)+1),CELL("address",AD732))</f>
        <v>#VALUE!</v>
      </c>
      <c r="N732" s="98" t="e">
        <f ca="1">IF(G731&gt;=11,(MID(M732,1,1)&amp;MID(M732,2,3)+1),CELL("address",AE732))</f>
        <v>#VALUE!</v>
      </c>
      <c r="O732" s="98" t="e">
        <f ca="1">IF(G731&gt;=12,(MID(N732,1,1)&amp;MID(N732,2,3)+1),CELL("address",AF732))</f>
        <v>#VALUE!</v>
      </c>
    </row>
    <row r="733" spans="1:8" ht="15" customHeight="1">
      <c r="A733" s="306"/>
      <c r="B733" s="306"/>
      <c r="C733" s="306"/>
      <c r="D733" s="45" t="s">
        <v>92</v>
      </c>
      <c r="E733" s="174">
        <v>3.2</v>
      </c>
      <c r="G733" s="92" t="str">
        <f>CONCATENATE(D733," - ",E733,", ")</f>
        <v>3/ core XLPE Alu cable scrap - 3.2, </v>
      </c>
      <c r="H733" s="1"/>
    </row>
    <row r="734" spans="1:8" ht="15" customHeight="1">
      <c r="A734" s="306"/>
      <c r="B734" s="306"/>
      <c r="C734" s="306"/>
      <c r="D734" s="45" t="s">
        <v>244</v>
      </c>
      <c r="E734" s="174">
        <v>5.402</v>
      </c>
      <c r="G734" s="92" t="str">
        <f>CONCATENATE(D734," - ",E734,", ")</f>
        <v>ABC cable scrap (150 mm) - 5.402, </v>
      </c>
      <c r="H734" s="1"/>
    </row>
    <row r="735" spans="1:8" ht="15" customHeight="1">
      <c r="A735" s="39"/>
      <c r="B735" s="41"/>
      <c r="C735" s="42"/>
      <c r="D735" s="34"/>
      <c r="E735" s="157"/>
      <c r="H735" s="1"/>
    </row>
    <row r="736" spans="1:8" ht="15" customHeight="1">
      <c r="A736" s="35"/>
      <c r="E736" s="134">
        <f>SUM(E738:E741)</f>
        <v>2.785</v>
      </c>
      <c r="H736" s="1"/>
    </row>
    <row r="737" spans="1:18" ht="15" customHeight="1">
      <c r="A737" s="40" t="s">
        <v>5</v>
      </c>
      <c r="B737" s="304" t="s">
        <v>17</v>
      </c>
      <c r="C737" s="307"/>
      <c r="D737" s="210" t="s">
        <v>18</v>
      </c>
      <c r="E737" s="39" t="s">
        <v>7</v>
      </c>
      <c r="G737" s="93" t="str">
        <f>CONCATENATE("Cable Scrap, Lying at ",B738,". Quantity in MT - ")</f>
        <v>Cable Scrap, Lying at OL Rajpura. Quantity in MT - </v>
      </c>
      <c r="H737" s="309" t="str">
        <f ca="1">CONCATENATE(G737,G738,(INDIRECT(I738)),(INDIRECT(J738)),(INDIRECT(K738)),(INDIRECT(L738)),(INDIRECT(M738)),(INDIRECT(N738)),(INDIRECT(O738)),(INDIRECT(P738)),(INDIRECT(Q738)),(INDIRECT(R738)))</f>
        <v>Cable Scrap, Lying at OL Rajpura. Quantity in MT - 2/core PVC Alumn. Cable scrap - 0.78, 4/core PVC Alumn. Cable scrap - 0.609, 3/ core XLPE Alu cable scrap - 0.837, ABC cable scrap (70/95 mm) - 0.559, </v>
      </c>
      <c r="I737" s="98" t="str">
        <f aca="true" ca="1" t="array" ref="I737">CELL("address",INDEX(G737:G761,MATCH(TRUE,ISBLANK(G737:G761),0)))</f>
        <v>$G$742</v>
      </c>
      <c r="J737" s="98">
        <f aca="true" t="array" ref="J737">MATCH(TRUE,ISBLANK(G737:G761),0)</f>
        <v>6</v>
      </c>
      <c r="K737" s="98">
        <f>J737-3</f>
        <v>3</v>
      </c>
      <c r="L737" s="98"/>
      <c r="M737" s="98"/>
      <c r="N737" s="98"/>
      <c r="O737" s="98"/>
      <c r="P737" s="98"/>
      <c r="Q737" s="98"/>
      <c r="R737" s="98"/>
    </row>
    <row r="738" spans="1:18" ht="15" customHeight="1">
      <c r="A738" s="306" t="s">
        <v>174</v>
      </c>
      <c r="B738" s="306" t="s">
        <v>103</v>
      </c>
      <c r="C738" s="306"/>
      <c r="D738" s="45" t="s">
        <v>90</v>
      </c>
      <c r="E738" s="39">
        <v>0.78</v>
      </c>
      <c r="F738" s="98"/>
      <c r="G738" s="92" t="str">
        <f>CONCATENATE(D738," - ",E738,", ")</f>
        <v>2/core PVC Alumn. Cable scrap - 0.78, </v>
      </c>
      <c r="H738" s="309"/>
      <c r="I738" s="98" t="str">
        <f ca="1">IF(J737&gt;=3,(MID(I737,2,1)&amp;MID(I737,4,3)-K737),CELL("address",Z738))</f>
        <v>G739</v>
      </c>
      <c r="J738" s="98" t="str">
        <f ca="1">IF(J737&gt;=4,(MID(I738,1,1)&amp;MID(I738,2,3)+1),CELL("address",AA738))</f>
        <v>G740</v>
      </c>
      <c r="K738" s="98" t="str">
        <f ca="1">IF(J737&gt;=5,(MID(J738,1,1)&amp;MID(J738,2,3)+1),CELL("address",AB738))</f>
        <v>G741</v>
      </c>
      <c r="L738" s="98" t="str">
        <f ca="1">IF(J737&gt;=6,(MID(K738,1,1)&amp;MID(K738,2,3)+1),CELL("address",AC738))</f>
        <v>G742</v>
      </c>
      <c r="M738" s="98" t="str">
        <f ca="1">IF(J737&gt;=7,(MID(L738,1,1)&amp;MID(L738,2,3)+1),CELL("address",AD738))</f>
        <v>$AD$738</v>
      </c>
      <c r="N738" s="98" t="str">
        <f ca="1">IF(J737&gt;=8,(MID(M738,1,1)&amp;MID(M738,2,3)+1),CELL("address",AE738))</f>
        <v>$AE$738</v>
      </c>
      <c r="O738" s="98" t="str">
        <f ca="1">IF(J737&gt;=9,(MID(N738,1,1)&amp;MID(N738,2,3)+1),CELL("address",AF738))</f>
        <v>$AF$738</v>
      </c>
      <c r="P738" s="98" t="str">
        <f ca="1">IF(J737&gt;=10,(MID(O738,1,1)&amp;MID(O738,2,3)+1),CELL("address",AG738))</f>
        <v>$AG$738</v>
      </c>
      <c r="Q738" s="98" t="str">
        <f ca="1">IF(J737&gt;=11,(MID(P738,1,1)&amp;MID(P738,2,3)+1),CELL("address",AH738))</f>
        <v>$AH$738</v>
      </c>
      <c r="R738" s="98" t="str">
        <f ca="1">IF(J737&gt;=12,(MID(Q738,1,1)&amp;MID(Q738,2,3)+1),CELL("address",AI738))</f>
        <v>$AI$738</v>
      </c>
    </row>
    <row r="739" spans="1:15" ht="15" customHeight="1">
      <c r="A739" s="306"/>
      <c r="B739" s="306"/>
      <c r="C739" s="306"/>
      <c r="D739" s="45" t="s">
        <v>91</v>
      </c>
      <c r="E739" s="69">
        <v>0.609</v>
      </c>
      <c r="F739" s="98"/>
      <c r="G739" s="92" t="str">
        <f>CONCATENATE(D739," - ",E739,", ")</f>
        <v>4/core PVC Alumn. Cable scrap - 0.609, </v>
      </c>
      <c r="H739" s="98"/>
      <c r="I739" s="98" t="e">
        <f ca="1">IF(G738&gt;=6,(MID(H739,1,1)&amp;MID(H739,2,3)+1),CELL("address",Z739))</f>
        <v>#VALUE!</v>
      </c>
      <c r="J739" s="98" t="e">
        <f ca="1">IF(G738&gt;=7,(MID(I739,1,1)&amp;MID(I739,2,3)+1),CELL("address",AA739))</f>
        <v>#VALUE!</v>
      </c>
      <c r="K739" s="98" t="e">
        <f ca="1">IF(G738&gt;=8,(MID(J739,1,1)&amp;MID(J739,2,3)+1),CELL("address",AB739))</f>
        <v>#VALUE!</v>
      </c>
      <c r="L739" s="98" t="e">
        <f ca="1">IF(G738&gt;=9,(MID(K739,1,1)&amp;MID(K739,2,3)+1),CELL("address",AC739))</f>
        <v>#VALUE!</v>
      </c>
      <c r="M739" s="98" t="e">
        <f ca="1">IF(G738&gt;=10,(MID(L739,1,1)&amp;MID(L739,2,3)+1),CELL("address",AD739))</f>
        <v>#VALUE!</v>
      </c>
      <c r="N739" s="98" t="e">
        <f ca="1">IF(G738&gt;=11,(MID(M739,1,1)&amp;MID(M739,2,3)+1),CELL("address",AE739))</f>
        <v>#VALUE!</v>
      </c>
      <c r="O739" s="98" t="e">
        <f ca="1">IF(G738&gt;=12,(MID(N739,1,1)&amp;MID(N739,2,3)+1),CELL("address",AF739))</f>
        <v>#VALUE!</v>
      </c>
    </row>
    <row r="740" spans="1:8" ht="15" customHeight="1">
      <c r="A740" s="306"/>
      <c r="B740" s="306"/>
      <c r="C740" s="306"/>
      <c r="D740" s="45" t="s">
        <v>92</v>
      </c>
      <c r="E740" s="69">
        <v>0.837</v>
      </c>
      <c r="G740" s="92" t="str">
        <f>CONCATENATE(D740," - ",E740,", ")</f>
        <v>3/ core XLPE Alu cable scrap - 0.837, </v>
      </c>
      <c r="H740" s="1"/>
    </row>
    <row r="741" spans="1:8" ht="15" customHeight="1">
      <c r="A741" s="306"/>
      <c r="B741" s="306"/>
      <c r="C741" s="306"/>
      <c r="D741" s="45" t="s">
        <v>168</v>
      </c>
      <c r="E741" s="119">
        <v>0.559</v>
      </c>
      <c r="G741" s="92" t="str">
        <f>CONCATENATE(D741," - ",E741,", ")</f>
        <v>ABC cable scrap (70/95 mm) - 0.559, </v>
      </c>
      <c r="H741" s="1"/>
    </row>
    <row r="742" spans="1:8" ht="15" customHeight="1">
      <c r="A742" s="39"/>
      <c r="B742" s="41"/>
      <c r="C742" s="42"/>
      <c r="D742" s="45"/>
      <c r="E742" s="119"/>
      <c r="H742" s="1"/>
    </row>
    <row r="743" spans="1:8" ht="15" customHeight="1">
      <c r="A743" s="39"/>
      <c r="B743" s="259"/>
      <c r="C743" s="260"/>
      <c r="D743" s="216"/>
      <c r="E743" s="170">
        <f>SUM(E745:E748)</f>
        <v>5.704000000000001</v>
      </c>
      <c r="H743" s="1"/>
    </row>
    <row r="744" spans="1:18" ht="15" customHeight="1">
      <c r="A744" s="40" t="s">
        <v>5</v>
      </c>
      <c r="B744" s="304" t="s">
        <v>17</v>
      </c>
      <c r="C744" s="307"/>
      <c r="D744" s="210" t="s">
        <v>18</v>
      </c>
      <c r="E744" s="39" t="s">
        <v>7</v>
      </c>
      <c r="G744" s="93" t="str">
        <f>CONCATENATE("Cable Scrap, Lying at ",B745,". Quantity in MT - ")</f>
        <v>Cable Scrap, Lying at OL Barnala. Quantity in MT - </v>
      </c>
      <c r="H744" s="309" t="str">
        <f ca="1">CONCATENATE(G744,G745,(INDIRECT(I745)),(INDIRECT(J745)),(INDIRECT(K745)),(INDIRECT(L745)),(INDIRECT(M745)),(INDIRECT(N745)),(INDIRECT(O745)),(INDIRECT(P745)),(INDIRECT(Q745)),(INDIRECT(R745)))</f>
        <v>Cable Scrap, Lying at OL Barnala. Quantity in MT - 2/core PVC Alumn. Cable scrap - 0.684, 4/core PVC Alumn. Cable scrap - 1.564, 3/ core XLPE Alu cable scrap - 3.386, 1/ core XLPE Alu cable scrap - 0.07, </v>
      </c>
      <c r="I744" s="98" t="str">
        <f aca="true" ca="1" t="array" ref="I744">CELL("address",INDEX(G744:G768,MATCH(TRUE,ISBLANK(G744:G768),0)))</f>
        <v>$G$749</v>
      </c>
      <c r="J744" s="98">
        <f aca="true" t="array" ref="J744">MATCH(TRUE,ISBLANK(G744:G768),0)</f>
        <v>6</v>
      </c>
      <c r="K744" s="98">
        <f>J744-3</f>
        <v>3</v>
      </c>
      <c r="L744" s="98"/>
      <c r="M744" s="98"/>
      <c r="N744" s="98"/>
      <c r="O744" s="98"/>
      <c r="P744" s="98"/>
      <c r="Q744" s="98"/>
      <c r="R744" s="98"/>
    </row>
    <row r="745" spans="1:18" ht="15" customHeight="1">
      <c r="A745" s="306" t="s">
        <v>241</v>
      </c>
      <c r="B745" s="306" t="s">
        <v>189</v>
      </c>
      <c r="C745" s="306"/>
      <c r="D745" s="45" t="s">
        <v>90</v>
      </c>
      <c r="E745" s="69">
        <v>0.684</v>
      </c>
      <c r="F745" s="98"/>
      <c r="G745" s="92" t="str">
        <f>CONCATENATE(D745," - ",E745,", ")</f>
        <v>2/core PVC Alumn. Cable scrap - 0.684, </v>
      </c>
      <c r="H745" s="309"/>
      <c r="I745" s="98" t="str">
        <f ca="1">IF(J744&gt;=3,(MID(I744,2,1)&amp;MID(I744,4,3)-K744),CELL("address",Z745))</f>
        <v>G746</v>
      </c>
      <c r="J745" s="98" t="str">
        <f ca="1">IF(J744&gt;=4,(MID(I745,1,1)&amp;MID(I745,2,3)+1),CELL("address",AA745))</f>
        <v>G747</v>
      </c>
      <c r="K745" s="98" t="str">
        <f ca="1">IF(J744&gt;=5,(MID(J745,1,1)&amp;MID(J745,2,3)+1),CELL("address",AB745))</f>
        <v>G748</v>
      </c>
      <c r="L745" s="98" t="str">
        <f ca="1">IF(J744&gt;=6,(MID(K745,1,1)&amp;MID(K745,2,3)+1),CELL("address",AC745))</f>
        <v>G749</v>
      </c>
      <c r="M745" s="98" t="str">
        <f ca="1">IF(J744&gt;=7,(MID(L745,1,1)&amp;MID(L745,2,3)+1),CELL("address",AD745))</f>
        <v>$AD$745</v>
      </c>
      <c r="N745" s="98" t="str">
        <f ca="1">IF(J744&gt;=8,(MID(M745,1,1)&amp;MID(M745,2,3)+1),CELL("address",AE745))</f>
        <v>$AE$745</v>
      </c>
      <c r="O745" s="98" t="str">
        <f ca="1">IF(J744&gt;=9,(MID(N745,1,1)&amp;MID(N745,2,3)+1),CELL("address",AF745))</f>
        <v>$AF$745</v>
      </c>
      <c r="P745" s="98" t="str">
        <f ca="1">IF(J744&gt;=10,(MID(O745,1,1)&amp;MID(O745,2,3)+1),CELL("address",AG745))</f>
        <v>$AG$745</v>
      </c>
      <c r="Q745" s="98" t="str">
        <f ca="1">IF(J744&gt;=11,(MID(P745,1,1)&amp;MID(P745,2,3)+1),CELL("address",AH745))</f>
        <v>$AH$745</v>
      </c>
      <c r="R745" s="98" t="str">
        <f ca="1">IF(J744&gt;=12,(MID(Q745,1,1)&amp;MID(Q745,2,3)+1),CELL("address",AI745))</f>
        <v>$AI$745</v>
      </c>
    </row>
    <row r="746" spans="1:15" ht="15" customHeight="1">
      <c r="A746" s="306"/>
      <c r="B746" s="306"/>
      <c r="C746" s="306"/>
      <c r="D746" s="45" t="s">
        <v>91</v>
      </c>
      <c r="E746" s="69">
        <v>1.564</v>
      </c>
      <c r="F746" s="98"/>
      <c r="G746" s="92" t="str">
        <f>CONCATENATE(D746," - ",E746,", ")</f>
        <v>4/core PVC Alumn. Cable scrap - 1.564, </v>
      </c>
      <c r="H746" s="98"/>
      <c r="I746" s="98" t="e">
        <f ca="1">IF(G745&gt;=6,(MID(H746,1,1)&amp;MID(H746,2,3)+1),CELL("address",Z746))</f>
        <v>#VALUE!</v>
      </c>
      <c r="J746" s="98" t="e">
        <f ca="1">IF(G745&gt;=7,(MID(I746,1,1)&amp;MID(I746,2,3)+1),CELL("address",AA746))</f>
        <v>#VALUE!</v>
      </c>
      <c r="K746" s="98" t="e">
        <f ca="1">IF(G745&gt;=8,(MID(J746,1,1)&amp;MID(J746,2,3)+1),CELL("address",AB746))</f>
        <v>#VALUE!</v>
      </c>
      <c r="L746" s="98" t="e">
        <f ca="1">IF(G745&gt;=9,(MID(K746,1,1)&amp;MID(K746,2,3)+1),CELL("address",AC746))</f>
        <v>#VALUE!</v>
      </c>
      <c r="M746" s="98" t="e">
        <f ca="1">IF(G745&gt;=10,(MID(L746,1,1)&amp;MID(L746,2,3)+1),CELL("address",AD746))</f>
        <v>#VALUE!</v>
      </c>
      <c r="N746" s="98" t="e">
        <f ca="1">IF(G745&gt;=11,(MID(M746,1,1)&amp;MID(M746,2,3)+1),CELL("address",AE746))</f>
        <v>#VALUE!</v>
      </c>
      <c r="O746" s="98" t="e">
        <f ca="1">IF(G745&gt;=12,(MID(N746,1,1)&amp;MID(N746,2,3)+1),CELL("address",AF746))</f>
        <v>#VALUE!</v>
      </c>
    </row>
    <row r="747" spans="1:8" ht="15" customHeight="1">
      <c r="A747" s="306"/>
      <c r="B747" s="306"/>
      <c r="C747" s="306"/>
      <c r="D747" s="45" t="s">
        <v>92</v>
      </c>
      <c r="E747" s="119">
        <v>3.386</v>
      </c>
      <c r="G747" s="92" t="str">
        <f>CONCATENATE(D747," - ",E747,", ")</f>
        <v>3/ core XLPE Alu cable scrap - 3.386, </v>
      </c>
      <c r="H747" s="1"/>
    </row>
    <row r="748" spans="1:8" ht="15" customHeight="1">
      <c r="A748" s="306"/>
      <c r="B748" s="306"/>
      <c r="C748" s="306"/>
      <c r="D748" s="45" t="s">
        <v>97</v>
      </c>
      <c r="E748" s="119">
        <v>0.07</v>
      </c>
      <c r="G748" s="92" t="str">
        <f>CONCATENATE(D748," - ",E748,", ")</f>
        <v>1/ core XLPE Alu cable scrap - 0.07, </v>
      </c>
      <c r="H748" s="1"/>
    </row>
    <row r="749" spans="1:8" ht="15" customHeight="1">
      <c r="A749" s="39"/>
      <c r="B749" s="114"/>
      <c r="C749" s="59"/>
      <c r="D749" s="115"/>
      <c r="E749" s="175"/>
      <c r="H749" s="1"/>
    </row>
    <row r="750" spans="1:8" ht="15" customHeight="1">
      <c r="A750" s="39"/>
      <c r="B750" s="259"/>
      <c r="C750" s="260"/>
      <c r="D750" s="216"/>
      <c r="E750" s="170">
        <f>SUM(E752:E757)</f>
        <v>6.319</v>
      </c>
      <c r="H750" s="1"/>
    </row>
    <row r="751" spans="1:27" ht="15" customHeight="1">
      <c r="A751" s="70" t="s">
        <v>5</v>
      </c>
      <c r="B751" s="317" t="s">
        <v>17</v>
      </c>
      <c r="C751" s="318"/>
      <c r="D751" s="210" t="s">
        <v>18</v>
      </c>
      <c r="E751" s="39" t="s">
        <v>7</v>
      </c>
      <c r="G751" s="93" t="str">
        <f>CONCATENATE("Cable Scrap, Lying at ",B752,". Quantity in MT - ")</f>
        <v>Cable Scrap, Lying at CS Sangrur. Quantity in MT - </v>
      </c>
      <c r="H751" s="309" t="str">
        <f ca="1">CONCATENATE(G751,G752,(INDIRECT(I752)),(INDIRECT(J752)),(INDIRECT(K752)),(INDIRECT(L752)),(INDIRECT(M752)),(INDIRECT(N752)),(INDIRECT(O752)),(INDIRECT(P752)),(INDIRECT(Q752)),(INDIRECT(R752)))</f>
        <v>Cable Scrap, Lying at CS Sangrur. Quantity in MT - 2/core PVC Alumn. Cable scrap - 0.464, 4/core PVC Alumn. Cable scrap - 0.838, 3/ core XLPE Alu cable scrap - 3.077, Lead seal scrap with lash wire - 0.05, ABC cable scrap (70/95 mm) - 1.825, 1/ core XLPE Alu cable scrap - 0.065, </v>
      </c>
      <c r="I751" s="98" t="str">
        <f aca="true" ca="1" t="array" ref="I751">CELL("address",INDEX(G751:G775,MATCH(TRUE,ISBLANK(G751:G775),0)))</f>
        <v>$G$758</v>
      </c>
      <c r="J751" s="98">
        <f aca="true" t="array" ref="J751">MATCH(TRUE,ISBLANK(G751:G775),0)</f>
        <v>8</v>
      </c>
      <c r="K751" s="98">
        <f>J751-3</f>
        <v>5</v>
      </c>
      <c r="L751" s="98"/>
      <c r="M751" s="98"/>
      <c r="N751" s="98"/>
      <c r="O751" s="98"/>
      <c r="P751" s="98"/>
      <c r="Q751" s="98"/>
      <c r="R751" s="98"/>
      <c r="T751" s="169"/>
      <c r="U751" s="169"/>
      <c r="V751" s="169"/>
      <c r="W751" s="169"/>
      <c r="X751" s="169"/>
      <c r="Y751" s="169"/>
      <c r="Z751" s="169"/>
      <c r="AA751" s="101"/>
    </row>
    <row r="752" spans="1:18" ht="15" customHeight="1">
      <c r="A752" s="306" t="s">
        <v>210</v>
      </c>
      <c r="B752" s="306" t="s">
        <v>79</v>
      </c>
      <c r="C752" s="306"/>
      <c r="D752" s="81" t="s">
        <v>90</v>
      </c>
      <c r="E752" s="69">
        <v>0.464</v>
      </c>
      <c r="G752" s="92" t="str">
        <f aca="true" t="shared" si="3" ref="G752:G757">CONCATENATE(D752," - ",E752,", ")</f>
        <v>2/core PVC Alumn. Cable scrap - 0.464, </v>
      </c>
      <c r="H752" s="309"/>
      <c r="I752" s="98" t="str">
        <f ca="1">IF(J751&gt;=3,(MID(I751,2,1)&amp;MID(I751,4,3)-K751),CELL("address",Z752))</f>
        <v>G753</v>
      </c>
      <c r="J752" s="98" t="str">
        <f ca="1">IF(J751&gt;=4,(MID(I752,1,1)&amp;MID(I752,2,3)+1),CELL("address",AA752))</f>
        <v>G754</v>
      </c>
      <c r="K752" s="98" t="str">
        <f ca="1">IF(J751&gt;=5,(MID(J752,1,1)&amp;MID(J752,2,3)+1),CELL("address",AB752))</f>
        <v>G755</v>
      </c>
      <c r="L752" s="98" t="str">
        <f ca="1">IF(J751&gt;=6,(MID(K752,1,1)&amp;MID(K752,2,3)+1),CELL("address",AC752))</f>
        <v>G756</v>
      </c>
      <c r="M752" s="98" t="str">
        <f ca="1">IF(J751&gt;=7,(MID(L752,1,1)&amp;MID(L752,2,3)+1),CELL("address",AD752))</f>
        <v>G757</v>
      </c>
      <c r="N752" s="98" t="str">
        <f ca="1">IF(J751&gt;=8,(MID(M752,1,1)&amp;MID(M752,2,3)+1),CELL("address",AE752))</f>
        <v>G758</v>
      </c>
      <c r="O752" s="98" t="str">
        <f ca="1">IF(J751&gt;=9,(MID(N752,1,1)&amp;MID(N752,2,3)+1),CELL("address",AF752))</f>
        <v>$AF$752</v>
      </c>
      <c r="P752" s="98" t="str">
        <f ca="1">IF(J751&gt;=10,(MID(O752,1,1)&amp;MID(O752,2,3)+1),CELL("address",AG752))</f>
        <v>$AG$752</v>
      </c>
      <c r="Q752" s="98" t="str">
        <f ca="1">IF(J751&gt;=11,(MID(P752,1,1)&amp;MID(P752,2,3)+1),CELL("address",AH752))</f>
        <v>$AH$752</v>
      </c>
      <c r="R752" s="98" t="str">
        <f ca="1">IF(J751&gt;=12,(MID(Q752,1,1)&amp;MID(Q752,2,3)+1),CELL("address",AI752))</f>
        <v>$AI$752</v>
      </c>
    </row>
    <row r="753" spans="1:8" ht="15" customHeight="1">
      <c r="A753" s="306"/>
      <c r="B753" s="306"/>
      <c r="C753" s="306"/>
      <c r="D753" s="81" t="s">
        <v>91</v>
      </c>
      <c r="E753" s="69">
        <v>0.838</v>
      </c>
      <c r="G753" s="92" t="str">
        <f t="shared" si="3"/>
        <v>4/core PVC Alumn. Cable scrap - 0.838, </v>
      </c>
      <c r="H753" s="1"/>
    </row>
    <row r="754" spans="1:15" ht="15" customHeight="1">
      <c r="A754" s="306"/>
      <c r="B754" s="306"/>
      <c r="C754" s="306"/>
      <c r="D754" s="81" t="s">
        <v>92</v>
      </c>
      <c r="E754" s="69">
        <v>3.077</v>
      </c>
      <c r="F754" s="98"/>
      <c r="G754" s="92" t="str">
        <f t="shared" si="3"/>
        <v>3/ core XLPE Alu cable scrap - 3.077, </v>
      </c>
      <c r="H754" s="98"/>
      <c r="I754" s="98"/>
      <c r="J754" s="98"/>
      <c r="K754" s="98"/>
      <c r="L754" s="98"/>
      <c r="M754" s="98"/>
      <c r="N754" s="98"/>
      <c r="O754" s="98"/>
    </row>
    <row r="755" spans="1:15" ht="15" customHeight="1">
      <c r="A755" s="306"/>
      <c r="B755" s="306"/>
      <c r="C755" s="306"/>
      <c r="D755" s="81" t="s">
        <v>187</v>
      </c>
      <c r="E755" s="174">
        <v>0.05</v>
      </c>
      <c r="F755" s="98"/>
      <c r="G755" s="92" t="str">
        <f t="shared" si="3"/>
        <v>Lead seal scrap with lash wire - 0.05, </v>
      </c>
      <c r="H755" s="98"/>
      <c r="I755" s="98" t="e">
        <f ca="1">IF(G754&gt;=6,(MID(H755,1,1)&amp;MID(H755,2,3)+1),CELL("address",Z755))</f>
        <v>#VALUE!</v>
      </c>
      <c r="J755" s="98" t="e">
        <f ca="1">IF(G754&gt;=7,(MID(I755,1,1)&amp;MID(I755,2,3)+1),CELL("address",AA755))</f>
        <v>#VALUE!</v>
      </c>
      <c r="K755" s="98" t="e">
        <f ca="1">IF(G754&gt;=8,(MID(J755,1,1)&amp;MID(J755,2,3)+1),CELL("address",AB755))</f>
        <v>#VALUE!</v>
      </c>
      <c r="L755" s="98" t="e">
        <f ca="1">IF(G754&gt;=9,(MID(K755,1,1)&amp;MID(K755,2,3)+1),CELL("address",AC755))</f>
        <v>#VALUE!</v>
      </c>
      <c r="M755" s="98" t="e">
        <f ca="1">IF(G754&gt;=10,(MID(L755,1,1)&amp;MID(L755,2,3)+1),CELL("address",AD755))</f>
        <v>#VALUE!</v>
      </c>
      <c r="N755" s="98" t="e">
        <f ca="1">IF(G754&gt;=11,(MID(M755,1,1)&amp;MID(M755,2,3)+1),CELL("address",AE755))</f>
        <v>#VALUE!</v>
      </c>
      <c r="O755" s="98" t="e">
        <f ca="1">IF(G754&gt;=12,(MID(N755,1,1)&amp;MID(N755,2,3)+1),CELL("address",AF755))</f>
        <v>#VALUE!</v>
      </c>
    </row>
    <row r="756" spans="1:8" ht="15" customHeight="1">
      <c r="A756" s="306"/>
      <c r="B756" s="306"/>
      <c r="C756" s="306"/>
      <c r="D756" s="267" t="s">
        <v>168</v>
      </c>
      <c r="E756" s="119">
        <v>1.825</v>
      </c>
      <c r="G756" s="92" t="str">
        <f t="shared" si="3"/>
        <v>ABC cable scrap (70/95 mm) - 1.825, </v>
      </c>
      <c r="H756" s="1"/>
    </row>
    <row r="757" spans="1:8" ht="15" customHeight="1">
      <c r="A757" s="306"/>
      <c r="B757" s="306"/>
      <c r="C757" s="306"/>
      <c r="D757" s="81" t="s">
        <v>97</v>
      </c>
      <c r="E757" s="119">
        <v>0.065</v>
      </c>
      <c r="G757" s="92" t="str">
        <f t="shared" si="3"/>
        <v>1/ core XLPE Alu cable scrap - 0.065, </v>
      </c>
      <c r="H757" s="1"/>
    </row>
    <row r="758" spans="1:8" ht="15" customHeight="1">
      <c r="A758" s="50"/>
      <c r="B758" s="114"/>
      <c r="C758" s="59"/>
      <c r="D758" s="71"/>
      <c r="E758" s="119"/>
      <c r="F758" s="120"/>
      <c r="H758" s="1"/>
    </row>
    <row r="759" spans="1:8" ht="15" customHeight="1">
      <c r="A759" s="39"/>
      <c r="B759" s="259"/>
      <c r="C759" s="260"/>
      <c r="D759" s="216" t="s">
        <v>251</v>
      </c>
      <c r="E759" s="170">
        <f>SUM(E761:E764)</f>
        <v>2.549</v>
      </c>
      <c r="F759" s="120"/>
      <c r="H759" s="1"/>
    </row>
    <row r="760" spans="1:18" ht="15" customHeight="1">
      <c r="A760" s="40" t="s">
        <v>5</v>
      </c>
      <c r="B760" s="304" t="s">
        <v>17</v>
      </c>
      <c r="C760" s="307"/>
      <c r="D760" s="210" t="s">
        <v>18</v>
      </c>
      <c r="E760" s="39" t="s">
        <v>7</v>
      </c>
      <c r="G760" s="93" t="str">
        <f>CONCATENATE("Cable Scrap, Lying at ",B761,". Quantity in MT - ")</f>
        <v>Cable Scrap, Lying at CS Mohali. Quantity in MT - </v>
      </c>
      <c r="H760" s="309" t="str">
        <f ca="1">CONCATENATE(G760,G761,(INDIRECT(I761)),(INDIRECT(J761)),(INDIRECT(K761)),(INDIRECT(L761)),(INDIRECT(M761)),(INDIRECT(N761)),(INDIRECT(O761)),(INDIRECT(P761)),(INDIRECT(Q761)),(INDIRECT(R761)))</f>
        <v>Cable Scrap, Lying at CS Mohali. Quantity in MT - 4/core PVC Alumn. Cable scrap - 1.528, 3/ core XLPE Alu cable scrap - 0.533, 1/core PVC Alumn. Cable scrap - 0.183, 2/core PVC Alumn. Cable scrap - 0.305, </v>
      </c>
      <c r="I760" s="98" t="str">
        <f aca="true" ca="1" t="array" ref="I760">CELL("address",INDEX(G760:G784,MATCH(TRUE,ISBLANK(G760:G784),0)))</f>
        <v>$G$765</v>
      </c>
      <c r="J760" s="98">
        <f aca="true" t="array" ref="J760">MATCH(TRUE,ISBLANK(G760:G784),0)</f>
        <v>6</v>
      </c>
      <c r="K760" s="98">
        <f>J760-3</f>
        <v>3</v>
      </c>
      <c r="L760" s="98"/>
      <c r="M760" s="98"/>
      <c r="N760" s="98"/>
      <c r="O760" s="98"/>
      <c r="P760" s="98"/>
      <c r="Q760" s="98"/>
      <c r="R760" s="98"/>
    </row>
    <row r="761" spans="1:18" ht="15" customHeight="1">
      <c r="A761" s="306" t="s">
        <v>249</v>
      </c>
      <c r="B761" s="306" t="s">
        <v>62</v>
      </c>
      <c r="C761" s="306"/>
      <c r="D761" s="45" t="s">
        <v>91</v>
      </c>
      <c r="E761" s="39">
        <v>1.528</v>
      </c>
      <c r="F761" s="98"/>
      <c r="G761" s="92" t="str">
        <f>CONCATENATE(D761," - ",E761,", ")</f>
        <v>4/core PVC Alumn. Cable scrap - 1.528, </v>
      </c>
      <c r="H761" s="309"/>
      <c r="I761" s="98" t="str">
        <f ca="1">IF(J760&gt;=3,(MID(I760,2,1)&amp;MID(I760,4,3)-K760),CELL("address",Z761))</f>
        <v>G762</v>
      </c>
      <c r="J761" s="98" t="str">
        <f ca="1">IF(J760&gt;=4,(MID(I761,1,1)&amp;MID(I761,2,3)+1),CELL("address",AA761))</f>
        <v>G763</v>
      </c>
      <c r="K761" s="98" t="str">
        <f ca="1">IF(J760&gt;=5,(MID(J761,1,1)&amp;MID(J761,2,3)+1),CELL("address",AB761))</f>
        <v>G764</v>
      </c>
      <c r="L761" s="98" t="str">
        <f ca="1">IF(J760&gt;=6,(MID(K761,1,1)&amp;MID(K761,2,3)+1),CELL("address",AC761))</f>
        <v>G765</v>
      </c>
      <c r="M761" s="98" t="str">
        <f ca="1">IF(J760&gt;=7,(MID(L761,1,1)&amp;MID(L761,2,3)+1),CELL("address",AD761))</f>
        <v>$AD$761</v>
      </c>
      <c r="N761" s="98" t="str">
        <f ca="1">IF(J760&gt;=8,(MID(M761,1,1)&amp;MID(M761,2,3)+1),CELL("address",AE761))</f>
        <v>$AE$761</v>
      </c>
      <c r="O761" s="98" t="str">
        <f ca="1">IF(J760&gt;=9,(MID(N761,1,1)&amp;MID(N761,2,3)+1),CELL("address",AF761))</f>
        <v>$AF$761</v>
      </c>
      <c r="P761" s="98" t="str">
        <f ca="1">IF(J760&gt;=10,(MID(O761,1,1)&amp;MID(O761,2,3)+1),CELL("address",AG761))</f>
        <v>$AG$761</v>
      </c>
      <c r="Q761" s="98" t="str">
        <f ca="1">IF(J760&gt;=11,(MID(P761,1,1)&amp;MID(P761,2,3)+1),CELL("address",AH761))</f>
        <v>$AH$761</v>
      </c>
      <c r="R761" s="98" t="str">
        <f ca="1">IF(J760&gt;=12,(MID(Q761,1,1)&amp;MID(Q761,2,3)+1),CELL("address",AI761))</f>
        <v>$AI$761</v>
      </c>
    </row>
    <row r="762" spans="1:15" ht="15" customHeight="1">
      <c r="A762" s="306"/>
      <c r="B762" s="306"/>
      <c r="C762" s="306"/>
      <c r="D762" s="45" t="s">
        <v>92</v>
      </c>
      <c r="E762" s="69">
        <v>0.533</v>
      </c>
      <c r="F762" s="98"/>
      <c r="G762" s="92" t="str">
        <f>CONCATENATE(D762," - ",E762,", ")</f>
        <v>3/ core XLPE Alu cable scrap - 0.533, </v>
      </c>
      <c r="H762" s="98"/>
      <c r="I762" s="98" t="e">
        <f ca="1">IF(G761&gt;=6,(MID(H762,1,1)&amp;MID(H762,2,3)+1),CELL("address",Z762))</f>
        <v>#VALUE!</v>
      </c>
      <c r="J762" s="98" t="e">
        <f ca="1">IF(G761&gt;=7,(MID(I762,1,1)&amp;MID(I762,2,3)+1),CELL("address",AA762))</f>
        <v>#VALUE!</v>
      </c>
      <c r="K762" s="98" t="e">
        <f ca="1">IF(G761&gt;=8,(MID(J762,1,1)&amp;MID(J762,2,3)+1),CELL("address",AB762))</f>
        <v>#VALUE!</v>
      </c>
      <c r="L762" s="98" t="e">
        <f ca="1">IF(G761&gt;=9,(MID(K762,1,1)&amp;MID(K762,2,3)+1),CELL("address",AC762))</f>
        <v>#VALUE!</v>
      </c>
      <c r="M762" s="98" t="e">
        <f ca="1">IF(G761&gt;=10,(MID(L762,1,1)&amp;MID(L762,2,3)+1),CELL("address",AD762))</f>
        <v>#VALUE!</v>
      </c>
      <c r="N762" s="98" t="e">
        <f ca="1">IF(G761&gt;=11,(MID(M762,1,1)&amp;MID(M762,2,3)+1),CELL("address",AE762))</f>
        <v>#VALUE!</v>
      </c>
      <c r="O762" s="98" t="e">
        <f ca="1">IF(G761&gt;=12,(MID(N762,1,1)&amp;MID(N762,2,3)+1),CELL("address",AF762))</f>
        <v>#VALUE!</v>
      </c>
    </row>
    <row r="763" spans="1:8" ht="15" customHeight="1">
      <c r="A763" s="306"/>
      <c r="B763" s="306"/>
      <c r="C763" s="306"/>
      <c r="D763" s="45" t="s">
        <v>171</v>
      </c>
      <c r="E763" s="69">
        <v>0.183</v>
      </c>
      <c r="G763" s="92" t="str">
        <f>CONCATENATE(D763," - ",E763,", ")</f>
        <v>1/core PVC Alumn. Cable scrap - 0.183, </v>
      </c>
      <c r="H763" s="1"/>
    </row>
    <row r="764" spans="1:8" ht="15" customHeight="1">
      <c r="A764" s="306"/>
      <c r="B764" s="306"/>
      <c r="C764" s="306"/>
      <c r="D764" s="45" t="s">
        <v>90</v>
      </c>
      <c r="E764" s="69">
        <v>0.305</v>
      </c>
      <c r="G764" s="92" t="str">
        <f>CONCATENATE(D764," - ",E764,", ")</f>
        <v>2/core PVC Alumn. Cable scrap - 0.305, </v>
      </c>
      <c r="H764" s="1"/>
    </row>
    <row r="765" spans="1:8" ht="15" customHeight="1">
      <c r="A765" s="51"/>
      <c r="B765" s="54"/>
      <c r="C765" s="97"/>
      <c r="D765" s="34"/>
      <c r="E765" s="211"/>
      <c r="H765" s="1"/>
    </row>
    <row r="766" spans="1:8" ht="15" customHeight="1">
      <c r="A766" s="40"/>
      <c r="B766" s="314"/>
      <c r="C766" s="315"/>
      <c r="D766" s="214"/>
      <c r="E766" s="57">
        <f>SUM(E768:E770)</f>
        <v>2.266</v>
      </c>
      <c r="H766" s="1"/>
    </row>
    <row r="767" spans="1:18" ht="15" customHeight="1">
      <c r="A767" s="40" t="s">
        <v>5</v>
      </c>
      <c r="B767" s="306" t="s">
        <v>17</v>
      </c>
      <c r="C767" s="306"/>
      <c r="D767" s="209" t="s">
        <v>18</v>
      </c>
      <c r="E767" s="39" t="s">
        <v>7</v>
      </c>
      <c r="F767" s="98"/>
      <c r="G767" s="93" t="str">
        <f>CONCATENATE("Cable Scrap, Lying at ",B768,". Quantity in MT - ")</f>
        <v>Cable Scrap, Lying at OL Fazilka. Quantity in MT - </v>
      </c>
      <c r="H767" s="309" t="str">
        <f ca="1">CONCATENATE(G767,G768,(INDIRECT(I768)),(INDIRECT(J768)),(INDIRECT(K768)),(INDIRECT(L768)),(INDIRECT(M768)),(INDIRECT(N768)),(INDIRECT(O768)),(INDIRECT(P768)),(INDIRECT(Q768)),(INDIRECT(R768)))</f>
        <v>Cable Scrap, Lying at OL Fazilka. Quantity in MT - 2/core PVC Alumn. Cable scrap - 0.198, 4/core PVC Alumn. Cable scrap - 0.914, 3/ core XLPE Alu cable scrap - 1.154, </v>
      </c>
      <c r="I767" s="98" t="str">
        <f aca="true" ca="1" t="array" ref="I767">CELL("address",INDEX(G767:G791,MATCH(TRUE,ISBLANK(G767:G791),0)))</f>
        <v>$G$771</v>
      </c>
      <c r="J767" s="98">
        <f aca="true" t="array" ref="J767">MATCH(TRUE,ISBLANK(G767:G791),0)</f>
        <v>5</v>
      </c>
      <c r="K767" s="98">
        <f>J767-3</f>
        <v>2</v>
      </c>
      <c r="L767" s="98"/>
      <c r="M767" s="98"/>
      <c r="N767" s="98"/>
      <c r="O767" s="98"/>
      <c r="P767" s="98"/>
      <c r="Q767" s="98"/>
      <c r="R767" s="98"/>
    </row>
    <row r="768" spans="1:18" ht="15" customHeight="1">
      <c r="A768" s="306" t="s">
        <v>250</v>
      </c>
      <c r="B768" s="306" t="s">
        <v>112</v>
      </c>
      <c r="C768" s="306"/>
      <c r="D768" s="45" t="s">
        <v>90</v>
      </c>
      <c r="E768" s="69">
        <v>0.198</v>
      </c>
      <c r="F768" s="98"/>
      <c r="G768" s="92" t="str">
        <f>CONCATENATE(D768," - ",E768,", ")</f>
        <v>2/core PVC Alumn. Cable scrap - 0.198, </v>
      </c>
      <c r="H768" s="309"/>
      <c r="I768" s="98" t="str">
        <f ca="1">IF(J767&gt;=3,(MID(I767,2,1)&amp;MID(I767,4,3)-K767),CELL("address",Z768))</f>
        <v>G769</v>
      </c>
      <c r="J768" s="98" t="str">
        <f ca="1">IF(J767&gt;=4,(MID(I768,1,1)&amp;MID(I768,2,3)+1),CELL("address",AA768))</f>
        <v>G770</v>
      </c>
      <c r="K768" s="98" t="str">
        <f ca="1">IF(J767&gt;=5,(MID(J768,1,1)&amp;MID(J768,2,3)+1),CELL("address",AB768))</f>
        <v>G771</v>
      </c>
      <c r="L768" s="98" t="str">
        <f ca="1">IF(J767&gt;=6,(MID(K768,1,1)&amp;MID(K768,2,3)+1),CELL("address",AC768))</f>
        <v>$AC$768</v>
      </c>
      <c r="M768" s="98" t="str">
        <f ca="1">IF(J767&gt;=7,(MID(L768,1,1)&amp;MID(L768,2,3)+1),CELL("address",AD768))</f>
        <v>$AD$768</v>
      </c>
      <c r="N768" s="98" t="str">
        <f ca="1">IF(J767&gt;=8,(MID(M768,1,1)&amp;MID(M768,2,3)+1),CELL("address",AE768))</f>
        <v>$AE$768</v>
      </c>
      <c r="O768" s="98" t="str">
        <f ca="1">IF(J767&gt;=9,(MID(N768,1,1)&amp;MID(N768,2,3)+1),CELL("address",AF768))</f>
        <v>$AF$768</v>
      </c>
      <c r="P768" s="98" t="str">
        <f ca="1">IF(J767&gt;=10,(MID(O768,1,1)&amp;MID(O768,2,3)+1),CELL("address",AG768))</f>
        <v>$AG$768</v>
      </c>
      <c r="Q768" s="98" t="str">
        <f ca="1">IF(J767&gt;=11,(MID(P768,1,1)&amp;MID(P768,2,3)+1),CELL("address",AH768))</f>
        <v>$AH$768</v>
      </c>
      <c r="R768" s="98" t="str">
        <f ca="1">IF(J767&gt;=12,(MID(Q768,1,1)&amp;MID(Q768,2,3)+1),CELL("address",AI768))</f>
        <v>$AI$768</v>
      </c>
    </row>
    <row r="769" spans="1:8" ht="15" customHeight="1">
      <c r="A769" s="306"/>
      <c r="B769" s="306"/>
      <c r="C769" s="306"/>
      <c r="D769" s="45" t="s">
        <v>91</v>
      </c>
      <c r="E769" s="69">
        <v>0.914</v>
      </c>
      <c r="G769" s="92" t="str">
        <f>CONCATENATE(D769," - ",E769,", ")</f>
        <v>4/core PVC Alumn. Cable scrap - 0.914, </v>
      </c>
      <c r="H769" s="1"/>
    </row>
    <row r="770" spans="1:8" ht="15" customHeight="1">
      <c r="A770" s="306"/>
      <c r="B770" s="306"/>
      <c r="C770" s="306"/>
      <c r="D770" s="81" t="s">
        <v>92</v>
      </c>
      <c r="E770" s="69">
        <v>1.154</v>
      </c>
      <c r="G770" s="92" t="str">
        <f>CONCATENATE(D770," - ",E770,", ")</f>
        <v>3/ core XLPE Alu cable scrap - 1.154, </v>
      </c>
      <c r="H770" s="1"/>
    </row>
    <row r="771" spans="1:8" ht="15" customHeight="1">
      <c r="A771" s="39"/>
      <c r="B771" s="41"/>
      <c r="C771" s="42"/>
      <c r="D771" s="45"/>
      <c r="E771" s="69"/>
      <c r="H771" s="1"/>
    </row>
    <row r="772" spans="1:8" ht="15" customHeight="1">
      <c r="A772" s="50"/>
      <c r="B772" s="259"/>
      <c r="C772" s="260"/>
      <c r="D772" s="80"/>
      <c r="E772" s="176">
        <f>SUM(E774:E777)</f>
        <v>7.575</v>
      </c>
      <c r="H772" s="1"/>
    </row>
    <row r="773" spans="1:18" ht="15" customHeight="1">
      <c r="A773" s="40" t="s">
        <v>5</v>
      </c>
      <c r="B773" s="304" t="s">
        <v>17</v>
      </c>
      <c r="C773" s="307"/>
      <c r="D773" s="210" t="s">
        <v>18</v>
      </c>
      <c r="E773" s="39" t="s">
        <v>7</v>
      </c>
      <c r="G773" s="93" t="str">
        <f>CONCATENATE("Cable Scrap, Lying at ",B774,". Quantity in MT - ")</f>
        <v>Cable Scrap, Lying at OL Malerkotla. Quantity in MT - </v>
      </c>
      <c r="H773" s="309" t="str">
        <f ca="1">CONCATENATE(G773,G774,(INDIRECT(I774)),(INDIRECT(J774)),(INDIRECT(K774)),(INDIRECT(L774)),(INDIRECT(M774)),(INDIRECT(N774)),(INDIRECT(O774)),(INDIRECT(P774)),(INDIRECT(Q774)),(INDIRECT(R774)))</f>
        <v>Cable Scrap, Lying at OL Malerkotla. Quantity in MT - 2/core PVC Alumn. Cable scrap - 0.84, 4/core PVC Alumn. Cable scrap - 1.18, 3/ core XLPE Alu cable scrap - 2.539, ABC cable scrap (70/95 mm) - 3.016, </v>
      </c>
      <c r="I773" s="98" t="str">
        <f aca="true" ca="1" t="array" ref="I773">CELL("address",INDEX(G773:G797,MATCH(TRUE,ISBLANK(G773:G797),0)))</f>
        <v>$G$778</v>
      </c>
      <c r="J773" s="98">
        <f aca="true" t="array" ref="J773">MATCH(TRUE,ISBLANK(G773:G797),0)</f>
        <v>6</v>
      </c>
      <c r="K773" s="98">
        <f>J773-3</f>
        <v>3</v>
      </c>
      <c r="L773" s="98"/>
      <c r="M773" s="98"/>
      <c r="N773" s="98"/>
      <c r="O773" s="98"/>
      <c r="P773" s="98"/>
      <c r="Q773" s="98"/>
      <c r="R773" s="98"/>
    </row>
    <row r="774" spans="1:18" ht="15" customHeight="1">
      <c r="A774" s="306" t="s">
        <v>262</v>
      </c>
      <c r="B774" s="306" t="s">
        <v>126</v>
      </c>
      <c r="C774" s="306"/>
      <c r="D774" s="45" t="s">
        <v>90</v>
      </c>
      <c r="E774" s="39">
        <v>0.84</v>
      </c>
      <c r="F774" s="98"/>
      <c r="G774" s="92" t="str">
        <f>CONCATENATE(D774," - ",E774,", ")</f>
        <v>2/core PVC Alumn. Cable scrap - 0.84, </v>
      </c>
      <c r="H774" s="309"/>
      <c r="I774" s="98" t="str">
        <f ca="1">IF(J773&gt;=3,(MID(I773,2,1)&amp;MID(I773,4,3)-K773),CELL("address",Z774))</f>
        <v>G775</v>
      </c>
      <c r="J774" s="98" t="str">
        <f ca="1">IF(J773&gt;=4,(MID(I774,1,1)&amp;MID(I774,2,3)+1),CELL("address",AA774))</f>
        <v>G776</v>
      </c>
      <c r="K774" s="98" t="str">
        <f ca="1">IF(J773&gt;=5,(MID(J774,1,1)&amp;MID(J774,2,3)+1),CELL("address",AB774))</f>
        <v>G777</v>
      </c>
      <c r="L774" s="98" t="str">
        <f ca="1">IF(J773&gt;=6,(MID(K774,1,1)&amp;MID(K774,2,3)+1),CELL("address",AC774))</f>
        <v>G778</v>
      </c>
      <c r="M774" s="98" t="str">
        <f ca="1">IF(J773&gt;=7,(MID(L774,1,1)&amp;MID(L774,2,3)+1),CELL("address",AD774))</f>
        <v>$AD$774</v>
      </c>
      <c r="N774" s="98" t="str">
        <f ca="1">IF(J773&gt;=8,(MID(M774,1,1)&amp;MID(M774,2,3)+1),CELL("address",AE774))</f>
        <v>$AE$774</v>
      </c>
      <c r="O774" s="98" t="str">
        <f ca="1">IF(J773&gt;=9,(MID(N774,1,1)&amp;MID(N774,2,3)+1),CELL("address",AF774))</f>
        <v>$AF$774</v>
      </c>
      <c r="P774" s="98" t="str">
        <f ca="1">IF(J773&gt;=10,(MID(O774,1,1)&amp;MID(O774,2,3)+1),CELL("address",AG774))</f>
        <v>$AG$774</v>
      </c>
      <c r="Q774" s="98" t="str">
        <f ca="1">IF(J773&gt;=11,(MID(P774,1,1)&amp;MID(P774,2,3)+1),CELL("address",AH774))</f>
        <v>$AH$774</v>
      </c>
      <c r="R774" s="98" t="str">
        <f ca="1">IF(J773&gt;=12,(MID(Q774,1,1)&amp;MID(Q774,2,3)+1),CELL("address",AI774))</f>
        <v>$AI$774</v>
      </c>
    </row>
    <row r="775" spans="1:15" ht="15" customHeight="1">
      <c r="A775" s="306"/>
      <c r="B775" s="306"/>
      <c r="C775" s="306"/>
      <c r="D775" s="45" t="s">
        <v>91</v>
      </c>
      <c r="E775" s="69">
        <v>1.18</v>
      </c>
      <c r="F775" s="98"/>
      <c r="G775" s="92" t="str">
        <f>CONCATENATE(D775," - ",E775,", ")</f>
        <v>4/core PVC Alumn. Cable scrap - 1.18, </v>
      </c>
      <c r="H775" s="98"/>
      <c r="I775" s="98" t="e">
        <f ca="1">IF(G774&gt;=6,(MID(H775,1,1)&amp;MID(H775,2,3)+1),CELL("address",Z775))</f>
        <v>#VALUE!</v>
      </c>
      <c r="J775" s="98" t="e">
        <f ca="1">IF(G774&gt;=7,(MID(I775,1,1)&amp;MID(I775,2,3)+1),CELL("address",AA775))</f>
        <v>#VALUE!</v>
      </c>
      <c r="K775" s="98" t="e">
        <f ca="1">IF(G774&gt;=8,(MID(J775,1,1)&amp;MID(J775,2,3)+1),CELL("address",AB775))</f>
        <v>#VALUE!</v>
      </c>
      <c r="L775" s="98" t="e">
        <f ca="1">IF(G774&gt;=9,(MID(K775,1,1)&amp;MID(K775,2,3)+1),CELL("address",AC775))</f>
        <v>#VALUE!</v>
      </c>
      <c r="M775" s="98" t="e">
        <f ca="1">IF(G774&gt;=10,(MID(L775,1,1)&amp;MID(L775,2,3)+1),CELL("address",AD775))</f>
        <v>#VALUE!</v>
      </c>
      <c r="N775" s="98" t="e">
        <f ca="1">IF(G774&gt;=11,(MID(M775,1,1)&amp;MID(M775,2,3)+1),CELL("address",AE775))</f>
        <v>#VALUE!</v>
      </c>
      <c r="O775" s="98" t="e">
        <f ca="1">IF(G774&gt;=12,(MID(N775,1,1)&amp;MID(N775,2,3)+1),CELL("address",AF775))</f>
        <v>#VALUE!</v>
      </c>
    </row>
    <row r="776" spans="1:8" ht="15" customHeight="1">
      <c r="A776" s="306"/>
      <c r="B776" s="306"/>
      <c r="C776" s="306"/>
      <c r="D776" s="45" t="s">
        <v>92</v>
      </c>
      <c r="E776" s="69">
        <v>2.539</v>
      </c>
      <c r="G776" s="92" t="str">
        <f>CONCATENATE(D776," - ",E776,", ")</f>
        <v>3/ core XLPE Alu cable scrap - 2.539, </v>
      </c>
      <c r="H776" s="1"/>
    </row>
    <row r="777" spans="1:8" ht="15" customHeight="1">
      <c r="A777" s="306"/>
      <c r="B777" s="306"/>
      <c r="C777" s="306"/>
      <c r="D777" s="71" t="s">
        <v>168</v>
      </c>
      <c r="E777" s="268">
        <v>3.016</v>
      </c>
      <c r="G777" s="92" t="str">
        <f>CONCATENATE(D777," - ",E777,", ")</f>
        <v>ABC cable scrap (70/95 mm) - 3.016, </v>
      </c>
      <c r="H777" s="1"/>
    </row>
    <row r="778" spans="1:8" ht="15" customHeight="1">
      <c r="A778" s="39"/>
      <c r="B778" s="41"/>
      <c r="C778" s="42"/>
      <c r="D778" s="76"/>
      <c r="E778" s="172"/>
      <c r="H778" s="1"/>
    </row>
    <row r="779" spans="1:8" ht="15" customHeight="1">
      <c r="A779" s="50"/>
      <c r="B779" s="259"/>
      <c r="C779" s="260"/>
      <c r="D779" s="80"/>
      <c r="E779" s="176">
        <f>SUM(E781:E784)</f>
        <v>5.276</v>
      </c>
      <c r="H779" s="1"/>
    </row>
    <row r="780" spans="1:18" ht="15" customHeight="1">
      <c r="A780" s="40" t="s">
        <v>5</v>
      </c>
      <c r="B780" s="304" t="s">
        <v>17</v>
      </c>
      <c r="C780" s="307"/>
      <c r="D780" s="210" t="s">
        <v>18</v>
      </c>
      <c r="E780" s="39" t="s">
        <v>7</v>
      </c>
      <c r="G780" s="93" t="str">
        <f>CONCATENATE("Cable Scrap, Lying at ",B781,". Quantity in MT - ")</f>
        <v>Cable Scrap, Lying at OL Moga. Quantity in MT - </v>
      </c>
      <c r="H780" s="309" t="str">
        <f ca="1">CONCATENATE(G780,G781,(INDIRECT(I781)),(INDIRECT(J781)),(INDIRECT(K781)),(INDIRECT(L781)),(INDIRECT(M781)),(INDIRECT(N781)),(INDIRECT(O781)),(INDIRECT(P781)),(INDIRECT(Q781)),(INDIRECT(R781)))</f>
        <v>Cable Scrap, Lying at OL Moga. Quantity in MT - 2/core PVC Alumn. Cable scrap - 1.246, 4/core PVC Alumn. Cable scrap - 2.044, 1/ core XLPE Alu cable scrap - 0.299, 3/ core XLPE Alu cable scrap - 1.687, </v>
      </c>
      <c r="I780" s="98" t="str">
        <f aca="true" ca="1" t="array" ref="I780">CELL("address",INDEX(G780:G804,MATCH(TRUE,ISBLANK(G780:G804),0)))</f>
        <v>$G$785</v>
      </c>
      <c r="J780" s="98">
        <f aca="true" t="array" ref="J780">MATCH(TRUE,ISBLANK(G780:G804),0)</f>
        <v>6</v>
      </c>
      <c r="K780" s="98">
        <f>J780-3</f>
        <v>3</v>
      </c>
      <c r="L780" s="98"/>
      <c r="M780" s="98"/>
      <c r="N780" s="98"/>
      <c r="O780" s="98"/>
      <c r="P780" s="98"/>
      <c r="Q780" s="98"/>
      <c r="R780" s="98"/>
    </row>
    <row r="781" spans="1:18" ht="15" customHeight="1">
      <c r="A781" s="306" t="s">
        <v>266</v>
      </c>
      <c r="B781" s="306" t="s">
        <v>267</v>
      </c>
      <c r="C781" s="306"/>
      <c r="D781" s="45" t="s">
        <v>90</v>
      </c>
      <c r="E781" s="39">
        <v>1.246</v>
      </c>
      <c r="G781" s="92" t="str">
        <f>CONCATENATE(D781," - ",E781,", ")</f>
        <v>2/core PVC Alumn. Cable scrap - 1.246, </v>
      </c>
      <c r="H781" s="309"/>
      <c r="I781" s="98" t="str">
        <f ca="1">IF(J780&gt;=3,(MID(I780,2,1)&amp;MID(I780,4,3)-K780),CELL("address",Z781))</f>
        <v>G782</v>
      </c>
      <c r="J781" s="98" t="str">
        <f ca="1">IF(J780&gt;=4,(MID(I781,1,1)&amp;MID(I781,2,3)+1),CELL("address",AA781))</f>
        <v>G783</v>
      </c>
      <c r="K781" s="98" t="str">
        <f ca="1">IF(J780&gt;=5,(MID(J781,1,1)&amp;MID(J781,2,3)+1),CELL("address",AB781))</f>
        <v>G784</v>
      </c>
      <c r="L781" s="98" t="str">
        <f ca="1">IF(J780&gt;=6,(MID(K781,1,1)&amp;MID(K781,2,3)+1),CELL("address",AC781))</f>
        <v>G785</v>
      </c>
      <c r="M781" s="98" t="str">
        <f ca="1">IF(J780&gt;=7,(MID(L781,1,1)&amp;MID(L781,2,3)+1),CELL("address",AD781))</f>
        <v>$AD$781</v>
      </c>
      <c r="N781" s="98" t="str">
        <f ca="1">IF(J780&gt;=8,(MID(M781,1,1)&amp;MID(M781,2,3)+1),CELL("address",AE781))</f>
        <v>$AE$781</v>
      </c>
      <c r="O781" s="98" t="str">
        <f ca="1">IF(J780&gt;=9,(MID(N781,1,1)&amp;MID(N781,2,3)+1),CELL("address",AF781))</f>
        <v>$AF$781</v>
      </c>
      <c r="P781" s="98" t="str">
        <f ca="1">IF(J780&gt;=10,(MID(O781,1,1)&amp;MID(O781,2,3)+1),CELL("address",AG781))</f>
        <v>$AG$781</v>
      </c>
      <c r="Q781" s="98" t="str">
        <f ca="1">IF(J780&gt;=11,(MID(P781,1,1)&amp;MID(P781,2,3)+1),CELL("address",AH781))</f>
        <v>$AH$781</v>
      </c>
      <c r="R781" s="98" t="str">
        <f ca="1">IF(J780&gt;=12,(MID(Q781,1,1)&amp;MID(Q781,2,3)+1),CELL("address",AI781))</f>
        <v>$AI$781</v>
      </c>
    </row>
    <row r="782" spans="1:15" ht="15" customHeight="1">
      <c r="A782" s="306"/>
      <c r="B782" s="306"/>
      <c r="C782" s="306"/>
      <c r="D782" s="45" t="s">
        <v>91</v>
      </c>
      <c r="E782" s="69">
        <v>2.044</v>
      </c>
      <c r="F782" s="98"/>
      <c r="G782" s="92" t="str">
        <f>CONCATENATE(D782," - ",E782,", ")</f>
        <v>4/core PVC Alumn. Cable scrap - 2.044, </v>
      </c>
      <c r="H782" s="98"/>
      <c r="I782" s="98"/>
      <c r="J782" s="98"/>
      <c r="K782" s="98"/>
      <c r="L782" s="98"/>
      <c r="M782" s="98"/>
      <c r="N782" s="98"/>
      <c r="O782" s="98"/>
    </row>
    <row r="783" spans="1:15" ht="15" customHeight="1">
      <c r="A783" s="306"/>
      <c r="B783" s="306"/>
      <c r="C783" s="306"/>
      <c r="D783" s="45" t="s">
        <v>97</v>
      </c>
      <c r="E783" s="69">
        <v>0.299</v>
      </c>
      <c r="F783" s="98"/>
      <c r="G783" s="92" t="str">
        <f>CONCATENATE(D783," - ",E783,", ")</f>
        <v>1/ core XLPE Alu cable scrap - 0.299, </v>
      </c>
      <c r="H783" s="98"/>
      <c r="I783" s="98" t="e">
        <f ca="1">IF(G782&gt;=6,(MID(H783,1,1)&amp;MID(H783,2,3)+1),CELL("address",Z783))</f>
        <v>#VALUE!</v>
      </c>
      <c r="J783" s="98" t="e">
        <f ca="1">IF(G782&gt;=7,(MID(I783,1,1)&amp;MID(I783,2,3)+1),CELL("address",AA783))</f>
        <v>#VALUE!</v>
      </c>
      <c r="K783" s="98" t="e">
        <f ca="1">IF(G782&gt;=8,(MID(J783,1,1)&amp;MID(J783,2,3)+1),CELL("address",AB783))</f>
        <v>#VALUE!</v>
      </c>
      <c r="L783" s="98" t="e">
        <f ca="1">IF(G782&gt;=9,(MID(K783,1,1)&amp;MID(K783,2,3)+1),CELL("address",AC783))</f>
        <v>#VALUE!</v>
      </c>
      <c r="M783" s="98" t="e">
        <f ca="1">IF(G782&gt;=10,(MID(L783,1,1)&amp;MID(L783,2,3)+1),CELL("address",AD783))</f>
        <v>#VALUE!</v>
      </c>
      <c r="N783" s="98" t="e">
        <f ca="1">IF(G782&gt;=11,(MID(M783,1,1)&amp;MID(M783,2,3)+1),CELL("address",AE783))</f>
        <v>#VALUE!</v>
      </c>
      <c r="O783" s="98" t="e">
        <f ca="1">IF(G782&gt;=12,(MID(N783,1,1)&amp;MID(N783,2,3)+1),CELL("address",AF783))</f>
        <v>#VALUE!</v>
      </c>
    </row>
    <row r="784" spans="1:8" ht="15" customHeight="1">
      <c r="A784" s="306"/>
      <c r="B784" s="306"/>
      <c r="C784" s="306"/>
      <c r="D784" s="45" t="s">
        <v>92</v>
      </c>
      <c r="E784" s="268">
        <v>1.687</v>
      </c>
      <c r="G784" s="92" t="str">
        <f>CONCATENATE(D784," - ",E784,", ")</f>
        <v>3/ core XLPE Alu cable scrap - 1.687, </v>
      </c>
      <c r="H784" s="1"/>
    </row>
    <row r="785" spans="1:8" ht="13.5" customHeight="1">
      <c r="A785" s="39"/>
      <c r="B785" s="41"/>
      <c r="C785" s="42"/>
      <c r="D785" s="34"/>
      <c r="E785" s="172"/>
      <c r="H785" s="1"/>
    </row>
    <row r="786" spans="1:8" ht="20.25" customHeight="1">
      <c r="A786" s="12" t="s">
        <v>13</v>
      </c>
      <c r="B786" s="13"/>
      <c r="C786" s="9"/>
      <c r="D786" s="34"/>
      <c r="E786" s="252"/>
      <c r="F786" s="120"/>
      <c r="H786" s="1"/>
    </row>
    <row r="787" spans="1:15" ht="15" customHeight="1">
      <c r="A787" s="53"/>
      <c r="B787" s="54"/>
      <c r="C787" s="55"/>
      <c r="D787" s="55"/>
      <c r="E787" s="161">
        <f>SUM(E789:E790)</f>
        <v>22.312</v>
      </c>
      <c r="F787" s="98"/>
      <c r="G787" s="98"/>
      <c r="H787" s="98"/>
      <c r="I787" s="98"/>
      <c r="J787" s="98"/>
      <c r="K787" s="98"/>
      <c r="L787" s="98"/>
      <c r="M787" s="98"/>
      <c r="N787" s="98"/>
      <c r="O787" s="98"/>
    </row>
    <row r="788" spans="1:18" ht="15" customHeight="1">
      <c r="A788" s="306" t="s">
        <v>5</v>
      </c>
      <c r="B788" s="306"/>
      <c r="C788" s="56" t="s">
        <v>17</v>
      </c>
      <c r="D788" s="209" t="s">
        <v>18</v>
      </c>
      <c r="E788" s="39" t="s">
        <v>7</v>
      </c>
      <c r="F788" s="98"/>
      <c r="G788" s="93" t="str">
        <f>CONCATENATE("Misc. Iron Scrap, Lying at ",C789,". Quantity in MT - ")</f>
        <v>Misc. Iron Scrap, Lying at Pilot W/Shop Sri Muktsar Sahib. Quantity in MT - </v>
      </c>
      <c r="H788" s="309" t="str">
        <f ca="1">CONCATENATE(G788,G789,(INDIRECT(I789)),(INDIRECT(J789)),(INDIRECT(K789)),(INDIRECT(L789)),(INDIRECT(M789)),(INDIRECT(N789)),(INDIRECT(O789)),(INDIRECT(P789)),(INDIRECT(Q789)),(INDIRECT(R789)),".")</f>
        <v>Misc. Iron Scrap, Lying at Pilot W/Shop Sri Muktsar Sahib. Quantity in MT - MS iron scrap / GI scrap - 10.182, HT wire scrap off size - 12.13, .</v>
      </c>
      <c r="I788" s="98" t="str">
        <f aca="true" ca="1" t="array" ref="I788">CELL("address",INDEX(G788:G806,MATCH(TRUE,ISBLANK(G788:G806),0)))</f>
        <v>$G$791</v>
      </c>
      <c r="J788" s="98">
        <f aca="true" t="array" ref="J788">MATCH(TRUE,ISBLANK(G788:G806),0)</f>
        <v>4</v>
      </c>
      <c r="K788" s="98">
        <f>J788-3</f>
        <v>1</v>
      </c>
      <c r="L788" s="98"/>
      <c r="M788" s="98"/>
      <c r="N788" s="98"/>
      <c r="O788" s="98"/>
      <c r="P788" s="98"/>
      <c r="Q788" s="98"/>
      <c r="R788" s="98"/>
    </row>
    <row r="789" spans="1:18" ht="15" customHeight="1">
      <c r="A789" s="317" t="s">
        <v>21</v>
      </c>
      <c r="B789" s="377"/>
      <c r="C789" s="308" t="s">
        <v>19</v>
      </c>
      <c r="D789" s="40" t="s">
        <v>20</v>
      </c>
      <c r="E789" s="69">
        <v>10.182</v>
      </c>
      <c r="G789" s="92" t="str">
        <f>CONCATENATE(D789," - ",E789,", ")</f>
        <v>MS iron scrap / GI scrap - 10.182, </v>
      </c>
      <c r="H789" s="309"/>
      <c r="I789" s="98" t="str">
        <f ca="1">IF(J788&gt;=3,(MID(I788,2,1)&amp;MID(I788,4,3)-K788),CELL("address",Z789))</f>
        <v>G790</v>
      </c>
      <c r="J789" s="98" t="str">
        <f ca="1">IF(J788&gt;=4,(MID(I789,1,1)&amp;MID(I789,2,3)+1),CELL("address",AA789))</f>
        <v>G791</v>
      </c>
      <c r="K789" s="98" t="str">
        <f ca="1">IF(J788&gt;=5,(MID(J789,1,1)&amp;MID(J789,2,3)+1),CELL("address",AB789))</f>
        <v>$AB$789</v>
      </c>
      <c r="L789" s="98" t="str">
        <f ca="1">IF(J788&gt;=6,(MID(K789,1,1)&amp;MID(K789,2,3)+1),CELL("address",AC789))</f>
        <v>$AC$789</v>
      </c>
      <c r="M789" s="98" t="str">
        <f ca="1">IF(J788&gt;=7,(MID(L789,1,1)&amp;MID(L789,2,3)+1),CELL("address",AD789))</f>
        <v>$AD$789</v>
      </c>
      <c r="N789" s="98" t="str">
        <f ca="1">IF(J788&gt;=8,(MID(M789,1,1)&amp;MID(M789,2,3)+1),CELL("address",AE789))</f>
        <v>$AE$789</v>
      </c>
      <c r="O789" s="98" t="str">
        <f ca="1">IF(J788&gt;=9,(MID(N789,1,1)&amp;MID(N789,2,3)+1),CELL("address",AF789))</f>
        <v>$AF$789</v>
      </c>
      <c r="P789" s="98" t="str">
        <f ca="1">IF(J788&gt;=10,(MID(O789,1,1)&amp;MID(O789,2,3)+1),CELL("address",AG789))</f>
        <v>$AG$789</v>
      </c>
      <c r="Q789" s="98" t="str">
        <f ca="1">IF(J788&gt;=11,(MID(P789,1,1)&amp;MID(P789,2,3)+1),CELL("address",AH789))</f>
        <v>$AH$789</v>
      </c>
      <c r="R789" s="98" t="str">
        <f ca="1">IF(J788&gt;=12,(MID(Q789,1,1)&amp;MID(Q789,2,3)+1),CELL("address",AI789))</f>
        <v>$AI$789</v>
      </c>
    </row>
    <row r="790" spans="1:8" ht="15" customHeight="1">
      <c r="A790" s="350"/>
      <c r="B790" s="351"/>
      <c r="C790" s="319"/>
      <c r="D790" s="40" t="s">
        <v>71</v>
      </c>
      <c r="E790" s="69">
        <v>12.13</v>
      </c>
      <c r="G790" s="92" t="str">
        <f>CONCATENATE(D790," - ",E790,", ")</f>
        <v>HT wire scrap off size - 12.13, </v>
      </c>
      <c r="H790" s="1"/>
    </row>
    <row r="791" spans="1:8" ht="15" customHeight="1">
      <c r="A791" s="39"/>
      <c r="B791" s="41"/>
      <c r="C791" s="48"/>
      <c r="D791" s="38"/>
      <c r="E791" s="177"/>
      <c r="G791" s="92"/>
      <c r="H791" s="1"/>
    </row>
    <row r="792" spans="1:15" ht="15" customHeight="1">
      <c r="A792" s="53"/>
      <c r="B792" s="54"/>
      <c r="C792" s="55"/>
      <c r="D792" s="55"/>
      <c r="E792" s="161">
        <f>SUM(E794:E795)</f>
        <v>19.325</v>
      </c>
      <c r="F792" s="98"/>
      <c r="G792" s="98"/>
      <c r="H792" s="98"/>
      <c r="I792" s="98"/>
      <c r="J792" s="98"/>
      <c r="K792" s="98"/>
      <c r="L792" s="98"/>
      <c r="M792" s="98"/>
      <c r="N792" s="98"/>
      <c r="O792" s="98"/>
    </row>
    <row r="793" spans="1:18" ht="15" customHeight="1">
      <c r="A793" s="306" t="s">
        <v>5</v>
      </c>
      <c r="B793" s="306"/>
      <c r="C793" s="56" t="s">
        <v>17</v>
      </c>
      <c r="D793" s="209" t="s">
        <v>18</v>
      </c>
      <c r="E793" s="39" t="s">
        <v>7</v>
      </c>
      <c r="F793" s="98"/>
      <c r="G793" s="93" t="str">
        <f>CONCATENATE("Misc. Iron Scrap, Lying at ",C794,". Quantity in MT - ")</f>
        <v>Misc. Iron Scrap, Lying at Pilot Workshop Mohali. Quantity in MT - </v>
      </c>
      <c r="H793" s="309" t="str">
        <f ca="1">CONCATENATE(G793,G794,(INDIRECT(I794)),(INDIRECT(J794)),(INDIRECT(K794)),(INDIRECT(L794)),(INDIRECT(M794)),(INDIRECT(N794)),(INDIRECT(O794)),(INDIRECT(P794)),(INDIRECT(Q794)),(INDIRECT(R794)),".")</f>
        <v>Misc. Iron Scrap, Lying at Pilot Workshop Mohali. Quantity in MT - HT Wire scrap &amp; other intermingled iron scrap - 14, MS iron scrap ( MS sections, scrapped T&amp;P etc) - 5.325, .</v>
      </c>
      <c r="I793" s="98" t="str">
        <f aca="true" ca="1" t="array" ref="I793">CELL("address",INDEX(G793:G811,MATCH(TRUE,ISBLANK(G793:G811),0)))</f>
        <v>$G$796</v>
      </c>
      <c r="J793" s="98">
        <f aca="true" t="array" ref="J793">MATCH(TRUE,ISBLANK(G793:G811),0)</f>
        <v>4</v>
      </c>
      <c r="K793" s="98">
        <f>J793-3</f>
        <v>1</v>
      </c>
      <c r="L793" s="98"/>
      <c r="M793" s="98"/>
      <c r="N793" s="98"/>
      <c r="O793" s="98"/>
      <c r="P793" s="98"/>
      <c r="Q793" s="98"/>
      <c r="R793" s="98"/>
    </row>
    <row r="794" spans="1:18" ht="15" customHeight="1">
      <c r="A794" s="306" t="s">
        <v>30</v>
      </c>
      <c r="B794" s="306"/>
      <c r="C794" s="308" t="s">
        <v>54</v>
      </c>
      <c r="D794" s="42" t="s">
        <v>55</v>
      </c>
      <c r="E794" s="69">
        <v>14</v>
      </c>
      <c r="G794" s="92" t="str">
        <f>CONCATENATE(D794," - ",E794,", ")</f>
        <v>HT Wire scrap &amp; other intermingled iron scrap - 14, </v>
      </c>
      <c r="H794" s="309"/>
      <c r="I794" s="98" t="str">
        <f ca="1">IF(J793&gt;=3,(MID(I793,2,1)&amp;MID(I793,4,3)-K793),CELL("address",Z794))</f>
        <v>G795</v>
      </c>
      <c r="J794" s="98" t="str">
        <f ca="1">IF(J793&gt;=4,(MID(I794,1,1)&amp;MID(I794,2,3)+1),CELL("address",AA794))</f>
        <v>G796</v>
      </c>
      <c r="K794" s="98" t="str">
        <f ca="1">IF(J793&gt;=5,(MID(J794,1,1)&amp;MID(J794,2,3)+1),CELL("address",AB794))</f>
        <v>$AB$794</v>
      </c>
      <c r="L794" s="98" t="str">
        <f ca="1">IF(J793&gt;=6,(MID(K794,1,1)&amp;MID(K794,2,3)+1),CELL("address",AC794))</f>
        <v>$AC$794</v>
      </c>
      <c r="M794" s="98" t="str">
        <f ca="1">IF(J793&gt;=7,(MID(L794,1,1)&amp;MID(L794,2,3)+1),CELL("address",AD794))</f>
        <v>$AD$794</v>
      </c>
      <c r="N794" s="98" t="str">
        <f ca="1">IF(J793&gt;=8,(MID(M794,1,1)&amp;MID(M794,2,3)+1),CELL("address",AE794))</f>
        <v>$AE$794</v>
      </c>
      <c r="O794" s="98" t="str">
        <f ca="1">IF(J793&gt;=9,(MID(N794,1,1)&amp;MID(N794,2,3)+1),CELL("address",AF794))</f>
        <v>$AF$794</v>
      </c>
      <c r="P794" s="98" t="str">
        <f ca="1">IF(J793&gt;=10,(MID(O794,1,1)&amp;MID(O794,2,3)+1),CELL("address",AG794))</f>
        <v>$AG$794</v>
      </c>
      <c r="Q794" s="98" t="str">
        <f ca="1">IF(J793&gt;=11,(MID(P794,1,1)&amp;MID(P794,2,3)+1),CELL("address",AH794))</f>
        <v>$AH$794</v>
      </c>
      <c r="R794" s="98" t="str">
        <f ca="1">IF(J793&gt;=12,(MID(Q794,1,1)&amp;MID(Q794,2,3)+1),CELL("address",AI794))</f>
        <v>$AI$794</v>
      </c>
    </row>
    <row r="795" spans="1:8" ht="15" customHeight="1">
      <c r="A795" s="306"/>
      <c r="B795" s="306"/>
      <c r="C795" s="308"/>
      <c r="D795" s="74" t="s">
        <v>56</v>
      </c>
      <c r="E795" s="69">
        <v>5.325</v>
      </c>
      <c r="G795" s="92" t="str">
        <f>CONCATENATE(D795," - ",E795,", ")</f>
        <v>MS iron scrap ( MS sections, scrapped T&amp;P etc) - 5.325, </v>
      </c>
      <c r="H795" s="1"/>
    </row>
    <row r="796" spans="1:15" ht="15" customHeight="1">
      <c r="A796" s="39"/>
      <c r="B796" s="41"/>
      <c r="C796" s="48"/>
      <c r="D796" s="38"/>
      <c r="E796" s="177"/>
      <c r="F796" s="98"/>
      <c r="G796" s="98"/>
      <c r="H796" s="98"/>
      <c r="I796" s="98"/>
      <c r="J796" s="98"/>
      <c r="K796" s="98"/>
      <c r="L796" s="98"/>
      <c r="M796" s="98"/>
      <c r="N796" s="98"/>
      <c r="O796" s="98"/>
    </row>
    <row r="797" spans="1:15" ht="15" customHeight="1">
      <c r="A797" s="53"/>
      <c r="B797" s="54"/>
      <c r="C797" s="54"/>
      <c r="D797" s="55"/>
      <c r="E797" s="158">
        <f>SUM(E799:E799)</f>
        <v>26687</v>
      </c>
      <c r="F797" s="98"/>
      <c r="G797" s="98"/>
      <c r="H797" s="98"/>
      <c r="I797" s="98" t="str">
        <f ca="1">IF(G796&gt;=6,(MID(H797,1,1)&amp;MID(H797,2,3)+1),CELL("address",Z797))</f>
        <v>$Z$797</v>
      </c>
      <c r="J797" s="98" t="str">
        <f ca="1">IF(G796&gt;=7,(MID(I797,1,1)&amp;MID(I797,2,3)+1),CELL("address",AA797))</f>
        <v>$AA$797</v>
      </c>
      <c r="K797" s="98" t="str">
        <f ca="1">IF(G796&gt;=8,(MID(J797,1,1)&amp;MID(J797,2,3)+1),CELL("address",AB797))</f>
        <v>$AB$797</v>
      </c>
      <c r="L797" s="98" t="str">
        <f ca="1">IF(G796&gt;=9,(MID(K797,1,1)&amp;MID(K797,2,3)+1),CELL("address",AC797))</f>
        <v>$AC$797</v>
      </c>
      <c r="M797" s="98" t="str">
        <f ca="1">IF(G796&gt;=10,(MID(L797,1,1)&amp;MID(L797,2,3)+1),CELL("address",AD797))</f>
        <v>$AD$797</v>
      </c>
      <c r="N797" s="98" t="str">
        <f ca="1">IF(G796&gt;=11,(MID(M797,1,1)&amp;MID(M797,2,3)+1),CELL("address",AE797))</f>
        <v>$AE$797</v>
      </c>
      <c r="O797" s="98" t="str">
        <f ca="1">IF(G796&gt;=12,(MID(N797,1,1)&amp;MID(N797,2,3)+1),CELL("address",AF797))</f>
        <v>$AF$797</v>
      </c>
    </row>
    <row r="798" spans="1:18" ht="15" customHeight="1">
      <c r="A798" s="306" t="s">
        <v>5</v>
      </c>
      <c r="B798" s="306"/>
      <c r="C798" s="40" t="s">
        <v>17</v>
      </c>
      <c r="D798" s="209" t="s">
        <v>18</v>
      </c>
      <c r="E798" s="39" t="s">
        <v>69</v>
      </c>
      <c r="G798" s="93" t="str">
        <f>CONCATENATE("Misc. Iron Scrap, Lying at ",C799,". Quantity in No - ")</f>
        <v>Misc. Iron Scrap, Lying at S &amp; T Store Bathinda. Quantity in No - </v>
      </c>
      <c r="H798" s="309" t="str">
        <f ca="1">CONCATENATE(G798,G799,(INDIRECT(I799)),(INDIRECT(J799)),(INDIRECT(K799)),(INDIRECT(L799)),(INDIRECT(M799)),(INDIRECT(N799)),(INDIRECT(O799)),(INDIRECT(P799)),(INDIRECT(Q799)),(INDIRECT(R799)),".")</f>
        <v>Misc. Iron Scrap, Lying at S &amp; T Store Bathinda. Quantity in No - Disc Insulator Scrap - 26687, .</v>
      </c>
      <c r="I798" s="98" t="str">
        <f aca="true" ca="1" t="array" ref="I798">CELL("address",INDEX(G798:G818,MATCH(TRUE,ISBLANK(G798:G818),0)))</f>
        <v>$G$800</v>
      </c>
      <c r="J798" s="98">
        <f aca="true" t="array" ref="J798">MATCH(TRUE,ISBLANK(G798:G818),0)</f>
        <v>3</v>
      </c>
      <c r="K798" s="98">
        <f>J798-3</f>
        <v>0</v>
      </c>
      <c r="L798" s="98"/>
      <c r="M798" s="98"/>
      <c r="N798" s="98"/>
      <c r="O798" s="98"/>
      <c r="P798" s="98"/>
      <c r="Q798" s="98"/>
      <c r="R798" s="98"/>
    </row>
    <row r="799" spans="1:18" ht="15" customHeight="1">
      <c r="A799" s="317" t="s">
        <v>33</v>
      </c>
      <c r="B799" s="318"/>
      <c r="C799" s="256" t="s">
        <v>57</v>
      </c>
      <c r="D799" s="40" t="s">
        <v>70</v>
      </c>
      <c r="E799" s="159">
        <v>26687</v>
      </c>
      <c r="G799" s="92" t="str">
        <f>CONCATENATE(D799," - ",E799,", ")</f>
        <v>Disc Insulator Scrap - 26687, </v>
      </c>
      <c r="H799" s="309"/>
      <c r="I799" s="98" t="str">
        <f ca="1">IF(J798&gt;=3,(MID(I798,2,1)&amp;MID(I798,4,3)-K798),CELL("address",Z799))</f>
        <v>G800</v>
      </c>
      <c r="J799" s="98" t="str">
        <f ca="1">IF(J798&gt;=4,(MID(I799,1,1)&amp;MID(I799,2,3)+1),CELL("address",AA799))</f>
        <v>$AA$799</v>
      </c>
      <c r="K799" s="98" t="str">
        <f ca="1">IF(J798&gt;=5,(MID(J799,1,1)&amp;MID(J799,2,3)+1),CELL("address",AB799))</f>
        <v>$AB$799</v>
      </c>
      <c r="L799" s="98" t="str">
        <f ca="1">IF(J798&gt;=6,(MID(K799,1,1)&amp;MID(K799,2,3)+1),CELL("address",AC799))</f>
        <v>$AC$799</v>
      </c>
      <c r="M799" s="98" t="str">
        <f ca="1">IF(J798&gt;=7,(MID(L799,1,1)&amp;MID(L799,2,3)+1),CELL("address",AD799))</f>
        <v>$AD$799</v>
      </c>
      <c r="N799" s="98" t="str">
        <f ca="1">IF(J798&gt;=8,(MID(M799,1,1)&amp;MID(M799,2,3)+1),CELL("address",AE799))</f>
        <v>$AE$799</v>
      </c>
      <c r="O799" s="98" t="str">
        <f ca="1">IF(J798&gt;=9,(MID(N799,1,1)&amp;MID(N799,2,3)+1),CELL("address",AF799))</f>
        <v>$AF$799</v>
      </c>
      <c r="P799" s="98" t="str">
        <f ca="1">IF(J798&gt;=10,(MID(O799,1,1)&amp;MID(O799,2,3)+1),CELL("address",AG799))</f>
        <v>$AG$799</v>
      </c>
      <c r="Q799" s="98" t="str">
        <f ca="1">IF(J798&gt;=11,(MID(P799,1,1)&amp;MID(P799,2,3)+1),CELL("address",AH799))</f>
        <v>$AH$799</v>
      </c>
      <c r="R799" s="98" t="str">
        <f ca="1">IF(J798&gt;=12,(MID(Q799,1,1)&amp;MID(Q799,2,3)+1),CELL("address",AI799))</f>
        <v>$AI$799</v>
      </c>
    </row>
    <row r="800" spans="1:8" ht="15" customHeight="1">
      <c r="A800" s="39"/>
      <c r="B800" s="42"/>
      <c r="C800" s="254"/>
      <c r="D800" s="40"/>
      <c r="E800" s="160"/>
      <c r="H800" s="1"/>
    </row>
    <row r="801" spans="1:15" ht="15" customHeight="1">
      <c r="A801" s="53"/>
      <c r="B801" s="54"/>
      <c r="C801" s="54"/>
      <c r="D801" s="55"/>
      <c r="E801" s="161">
        <f>SUM(E803:E804)</f>
        <v>186.886</v>
      </c>
      <c r="F801" s="194"/>
      <c r="G801" s="98"/>
      <c r="H801" s="98"/>
      <c r="I801" s="98"/>
      <c r="J801" s="98"/>
      <c r="K801" s="98"/>
      <c r="L801" s="98"/>
      <c r="M801" s="98"/>
      <c r="N801" s="98"/>
      <c r="O801" s="98"/>
    </row>
    <row r="802" spans="1:18" ht="15" customHeight="1">
      <c r="A802" s="306" t="s">
        <v>5</v>
      </c>
      <c r="B802" s="306"/>
      <c r="C802" s="40" t="s">
        <v>17</v>
      </c>
      <c r="D802" s="209" t="s">
        <v>18</v>
      </c>
      <c r="E802" s="39" t="s">
        <v>7</v>
      </c>
      <c r="F802" s="194"/>
      <c r="G802" s="93" t="str">
        <f>CONCATENATE("Misc. Iron Scrap, Lying at ",C803,". Quantity in MT - ")</f>
        <v>Misc. Iron Scrap, Lying at S &amp; T Store Bathinda. Quantity in MT - </v>
      </c>
      <c r="H802" s="309" t="str">
        <f ca="1">CONCATENATE(G802,G803,(INDIRECT(I803)),(INDIRECT(J803)),(INDIRECT(K803)),(INDIRECT(L803)),(INDIRECT(M803)),(INDIRECT(N803)),(INDIRECT(O803)),(INDIRECT(P803)),(INDIRECT(Q803)),(INDIRECT(R803)),".")</f>
        <v>Misc. Iron Scrap, Lying at S &amp; T Store Bathinda. Quantity in MT - MS Rail scrap - 181.996, Earthwire GSL scrap - 4.89, .</v>
      </c>
      <c r="I802" s="98" t="str">
        <f aca="true" ca="1" t="array" ref="I802">CELL("address",INDEX(G802:G822,MATCH(TRUE,ISBLANK(G802:G822),0)))</f>
        <v>$G$805</v>
      </c>
      <c r="J802" s="98">
        <f aca="true" t="array" ref="J802">MATCH(TRUE,ISBLANK(G802:G822),0)</f>
        <v>4</v>
      </c>
      <c r="K802" s="98">
        <f>J802-3</f>
        <v>1</v>
      </c>
      <c r="L802" s="98"/>
      <c r="M802" s="98"/>
      <c r="N802" s="98"/>
      <c r="O802" s="98"/>
      <c r="P802" s="98"/>
      <c r="Q802" s="98"/>
      <c r="R802" s="98"/>
    </row>
    <row r="803" spans="1:18" ht="15" customHeight="1">
      <c r="A803" s="306" t="s">
        <v>51</v>
      </c>
      <c r="B803" s="306"/>
      <c r="C803" s="308" t="s">
        <v>57</v>
      </c>
      <c r="D803" s="42" t="s">
        <v>61</v>
      </c>
      <c r="E803" s="69">
        <v>181.996</v>
      </c>
      <c r="F803" s="194"/>
      <c r="G803" s="92" t="str">
        <f>CONCATENATE(D803," - ",E803,", ")</f>
        <v>MS Rail scrap - 181.996, </v>
      </c>
      <c r="H803" s="309"/>
      <c r="I803" s="98" t="str">
        <f ca="1">IF(J802&gt;=3,(MID(I802,2,1)&amp;MID(I802,4,3)-K802),CELL("address",Z803))</f>
        <v>G804</v>
      </c>
      <c r="J803" s="98" t="str">
        <f ca="1">IF(J802&gt;=4,(MID(I803,1,1)&amp;MID(I803,2,3)+1),CELL("address",AA803))</f>
        <v>G805</v>
      </c>
      <c r="K803" s="98" t="str">
        <f ca="1">IF(J802&gt;=5,(MID(J803,1,1)&amp;MID(J803,2,3)+1),CELL("address",AB803))</f>
        <v>$AB$803</v>
      </c>
      <c r="L803" s="98" t="str">
        <f ca="1">IF(J802&gt;=6,(MID(K803,1,1)&amp;MID(K803,2,3)+1),CELL("address",AC803))</f>
        <v>$AC$803</v>
      </c>
      <c r="M803" s="98" t="str">
        <f ca="1">IF(J802&gt;=7,(MID(L803,1,1)&amp;MID(L803,2,3)+1),CELL("address",AD803))</f>
        <v>$AD$803</v>
      </c>
      <c r="N803" s="98" t="str">
        <f ca="1">IF(J802&gt;=8,(MID(M803,1,1)&amp;MID(M803,2,3)+1),CELL("address",AE803))</f>
        <v>$AE$803</v>
      </c>
      <c r="O803" s="98" t="str">
        <f ca="1">IF(J802&gt;=9,(MID(N803,1,1)&amp;MID(N803,2,3)+1),CELL("address",AF803))</f>
        <v>$AF$803</v>
      </c>
      <c r="P803" s="98" t="str">
        <f ca="1">IF(J802&gt;=10,(MID(O803,1,1)&amp;MID(O803,2,3)+1),CELL("address",AG803))</f>
        <v>$AG$803</v>
      </c>
      <c r="Q803" s="98" t="str">
        <f ca="1">IF(J802&gt;=11,(MID(P803,1,1)&amp;MID(P803,2,3)+1),CELL("address",AH803))</f>
        <v>$AH$803</v>
      </c>
      <c r="R803" s="98" t="str">
        <f ca="1">IF(J802&gt;=12,(MID(Q803,1,1)&amp;MID(Q803,2,3)+1),CELL("address",AI803))</f>
        <v>$AI$803</v>
      </c>
    </row>
    <row r="804" spans="1:15" ht="15" customHeight="1">
      <c r="A804" s="306"/>
      <c r="B804" s="306"/>
      <c r="C804" s="308"/>
      <c r="D804" s="42" t="s">
        <v>142</v>
      </c>
      <c r="E804" s="69">
        <v>4.89</v>
      </c>
      <c r="F804" s="98"/>
      <c r="G804" s="92" t="str">
        <f>CONCATENATE(D804," - ",E804,", ")</f>
        <v>Earthwire GSL scrap - 4.89, </v>
      </c>
      <c r="H804" s="98"/>
      <c r="I804" s="98"/>
      <c r="J804" s="98"/>
      <c r="K804" s="98"/>
      <c r="L804" s="98"/>
      <c r="M804" s="98"/>
      <c r="N804" s="98"/>
      <c r="O804" s="98"/>
    </row>
    <row r="805" spans="1:8" ht="15" customHeight="1">
      <c r="A805" s="39"/>
      <c r="B805" s="41"/>
      <c r="C805" s="48"/>
      <c r="D805" s="41"/>
      <c r="E805" s="58"/>
      <c r="F805" s="120"/>
      <c r="H805" s="1"/>
    </row>
    <row r="806" spans="1:8" ht="15" customHeight="1">
      <c r="A806" s="53"/>
      <c r="B806" s="54"/>
      <c r="C806" s="54"/>
      <c r="D806" s="56"/>
      <c r="E806" s="57">
        <f>SUM(E808:E810)</f>
        <v>3.4899999999999998</v>
      </c>
      <c r="F806" s="195"/>
      <c r="H806" s="1"/>
    </row>
    <row r="807" spans="1:18" ht="15" customHeight="1">
      <c r="A807" s="306" t="s">
        <v>5</v>
      </c>
      <c r="B807" s="306"/>
      <c r="C807" s="40" t="s">
        <v>17</v>
      </c>
      <c r="D807" s="209" t="s">
        <v>18</v>
      </c>
      <c r="E807" s="39" t="s">
        <v>7</v>
      </c>
      <c r="F807" s="98"/>
      <c r="G807" s="93" t="str">
        <f>CONCATENATE("Misc. Iron Scrap, Lying at ",C808,". Quantity in MT - ")</f>
        <v>Misc. Iron Scrap, Lying at CS Ferozepur. Quantity in MT - </v>
      </c>
      <c r="H807" s="309" t="str">
        <f ca="1">CONCATENATE(G807,G808,(INDIRECT(I808)),(INDIRECT(J808)),(INDIRECT(K808)),(INDIRECT(L808)),(INDIRECT(M808)),(INDIRECT(N808)),(INDIRECT(O808)),(INDIRECT(P808)),(INDIRECT(Q808)),(INDIRECT(R808)),".")</f>
        <v>Misc. Iron Scrap, Lying at CS Ferozepur. Quantity in MT - MS iron scrap - 2.979, Teen Patra scrap - 0.465, G.I. Scrap - 0.046, .</v>
      </c>
      <c r="I807" s="98" t="str">
        <f aca="true" ca="1" t="array" ref="I807">CELL("address",INDEX(G807:G827,MATCH(TRUE,ISBLANK(G807:G827),0)))</f>
        <v>$G$811</v>
      </c>
      <c r="J807" s="98">
        <f aca="true" t="array" ref="J807">MATCH(TRUE,ISBLANK(G807:G827),0)</f>
        <v>5</v>
      </c>
      <c r="K807" s="98">
        <f>J807-3</f>
        <v>2</v>
      </c>
      <c r="L807" s="98"/>
      <c r="M807" s="98"/>
      <c r="N807" s="98"/>
      <c r="O807" s="98"/>
      <c r="P807" s="98"/>
      <c r="Q807" s="98"/>
      <c r="R807" s="98"/>
    </row>
    <row r="808" spans="1:18" ht="15" customHeight="1">
      <c r="A808" s="306" t="s">
        <v>65</v>
      </c>
      <c r="B808" s="306"/>
      <c r="C808" s="308" t="s">
        <v>99</v>
      </c>
      <c r="D808" s="42" t="s">
        <v>29</v>
      </c>
      <c r="E808" s="58">
        <v>2.979</v>
      </c>
      <c r="F808" s="98"/>
      <c r="G808" s="92" t="str">
        <f>CONCATENATE(D808," - ",E808,", ")</f>
        <v>MS iron scrap - 2.979, </v>
      </c>
      <c r="H808" s="309"/>
      <c r="I808" s="98" t="str">
        <f ca="1">IF(J807&gt;=3,(MID(I807,2,1)&amp;MID(I807,4,3)-K807),CELL("address",Z808))</f>
        <v>G809</v>
      </c>
      <c r="J808" s="98" t="str">
        <f ca="1">IF(J807&gt;=4,(MID(I808,1,1)&amp;MID(I808,2,3)+1),CELL("address",AA808))</f>
        <v>G810</v>
      </c>
      <c r="K808" s="98" t="str">
        <f ca="1">IF(J807&gt;=5,(MID(J808,1,1)&amp;MID(J808,2,3)+1),CELL("address",AB808))</f>
        <v>G811</v>
      </c>
      <c r="L808" s="98" t="str">
        <f ca="1">IF(J807&gt;=6,(MID(K808,1,1)&amp;MID(K808,2,3)+1),CELL("address",AC808))</f>
        <v>$AC$808</v>
      </c>
      <c r="M808" s="98" t="str">
        <f ca="1">IF(J807&gt;=7,(MID(L808,1,1)&amp;MID(L808,2,3)+1),CELL("address",AD808))</f>
        <v>$AD$808</v>
      </c>
      <c r="N808" s="98" t="str">
        <f ca="1">IF(J807&gt;=8,(MID(M808,1,1)&amp;MID(M808,2,3)+1),CELL("address",AE808))</f>
        <v>$AE$808</v>
      </c>
      <c r="O808" s="98" t="str">
        <f ca="1">IF(J807&gt;=9,(MID(N808,1,1)&amp;MID(N808,2,3)+1),CELL("address",AF808))</f>
        <v>$AF$808</v>
      </c>
      <c r="P808" s="98" t="str">
        <f ca="1">IF(J807&gt;=10,(MID(O808,1,1)&amp;MID(O808,2,3)+1),CELL("address",AG808))</f>
        <v>$AG$808</v>
      </c>
      <c r="Q808" s="98" t="str">
        <f ca="1">IF(J807&gt;=11,(MID(P808,1,1)&amp;MID(P808,2,3)+1),CELL("address",AH808))</f>
        <v>$AH$808</v>
      </c>
      <c r="R808" s="98" t="str">
        <f ca="1">IF(J807&gt;=12,(MID(Q808,1,1)&amp;MID(Q808,2,3)+1),CELL("address",AI808))</f>
        <v>$AI$808</v>
      </c>
    </row>
    <row r="809" spans="1:21" ht="15" customHeight="1">
      <c r="A809" s="306"/>
      <c r="B809" s="306"/>
      <c r="C809" s="308"/>
      <c r="D809" s="81" t="s">
        <v>64</v>
      </c>
      <c r="E809" s="58">
        <v>0.465</v>
      </c>
      <c r="F809" s="98"/>
      <c r="G809" s="92" t="str">
        <f>CONCATENATE(D809," - ",E809,", ")</f>
        <v>Teen Patra scrap - 0.465, </v>
      </c>
      <c r="H809" s="98"/>
      <c r="I809" s="98"/>
      <c r="J809" s="98"/>
      <c r="K809" s="98"/>
      <c r="L809" s="98"/>
      <c r="M809" s="98"/>
      <c r="N809" s="98"/>
      <c r="O809" s="98"/>
      <c r="Q809" s="375"/>
      <c r="R809" s="375"/>
      <c r="S809" s="375"/>
      <c r="T809" s="375"/>
      <c r="U809" s="375"/>
    </row>
    <row r="810" spans="1:21" ht="15" customHeight="1">
      <c r="A810" s="306"/>
      <c r="B810" s="306"/>
      <c r="C810" s="308"/>
      <c r="D810" s="81" t="s">
        <v>197</v>
      </c>
      <c r="E810" s="58">
        <v>0.046</v>
      </c>
      <c r="G810" s="92" t="str">
        <f>CONCATENATE(D810," - ",E810,", ")</f>
        <v>G.I. Scrap - 0.046, </v>
      </c>
      <c r="H810" s="1"/>
      <c r="Q810" s="376"/>
      <c r="R810" s="376"/>
      <c r="S810" s="376"/>
      <c r="T810" s="376"/>
      <c r="U810" s="376"/>
    </row>
    <row r="811" spans="1:8" ht="15" customHeight="1">
      <c r="A811" s="39"/>
      <c r="B811" s="41"/>
      <c r="C811" s="48"/>
      <c r="D811" s="38"/>
      <c r="E811" s="177"/>
      <c r="H811" s="1"/>
    </row>
    <row r="812" spans="1:15" ht="15" customHeight="1">
      <c r="A812" s="310"/>
      <c r="B812" s="311"/>
      <c r="C812" s="40"/>
      <c r="D812" s="56"/>
      <c r="E812" s="57">
        <f>SUM(E814:E817)</f>
        <v>3.316</v>
      </c>
      <c r="F812" s="194"/>
      <c r="G812" s="98"/>
      <c r="H812" s="98"/>
      <c r="I812" s="98"/>
      <c r="J812" s="98"/>
      <c r="K812" s="98"/>
      <c r="L812" s="98"/>
      <c r="M812" s="98"/>
      <c r="N812" s="98"/>
      <c r="O812" s="98"/>
    </row>
    <row r="813" spans="1:18" ht="15" customHeight="1">
      <c r="A813" s="306" t="s">
        <v>5</v>
      </c>
      <c r="B813" s="306"/>
      <c r="C813" s="40" t="s">
        <v>17</v>
      </c>
      <c r="D813" s="209" t="s">
        <v>18</v>
      </c>
      <c r="E813" s="39" t="s">
        <v>7</v>
      </c>
      <c r="F813" s="98"/>
      <c r="G813" s="93" t="str">
        <f>CONCATENATE("Misc. Iron Scrap, Lying at ",C814,". Quantity in MT - ")</f>
        <v>Misc. Iron Scrap, Lying at OL Fazilka. Quantity in MT - </v>
      </c>
      <c r="H813" s="309" t="str">
        <f ca="1">CONCATENATE(G813,G814,(INDIRECT(I814)),(INDIRECT(J814)),(INDIRECT(K814)),(INDIRECT(L814)),(INDIRECT(M814)),(INDIRECT(N814)),(INDIRECT(O814)),(INDIRECT(P814)),(INDIRECT(Q814)),(INDIRECT(R814)),".")</f>
        <v>Misc. Iron Scrap, Lying at OL Fazilka. Quantity in MT - MS iron scrap - 2.791, Teen Patra scrap - 0.17, MS Rail scrap - 0.35, M.S. Nuts &amp; Bolts Scrap - 0.005, .</v>
      </c>
      <c r="I813" s="98" t="str">
        <f aca="true" ca="1" t="array" ref="I813">CELL("address",INDEX(G813:G834,MATCH(TRUE,ISBLANK(G813:G834),0)))</f>
        <v>$G$818</v>
      </c>
      <c r="J813" s="98">
        <f aca="true" t="array" ref="J813">MATCH(TRUE,ISBLANK(G813:G834),0)</f>
        <v>6</v>
      </c>
      <c r="K813" s="98">
        <f>J813-3</f>
        <v>3</v>
      </c>
      <c r="L813" s="98"/>
      <c r="M813" s="98"/>
      <c r="N813" s="98"/>
      <c r="O813" s="98"/>
      <c r="P813" s="98"/>
      <c r="Q813" s="98"/>
      <c r="R813" s="98"/>
    </row>
    <row r="814" spans="1:18" ht="15" customHeight="1">
      <c r="A814" s="317" t="s">
        <v>66</v>
      </c>
      <c r="B814" s="318"/>
      <c r="C814" s="362" t="s">
        <v>112</v>
      </c>
      <c r="D814" s="42" t="s">
        <v>29</v>
      </c>
      <c r="E814" s="58">
        <v>2.791</v>
      </c>
      <c r="G814" s="92" t="str">
        <f>CONCATENATE(D814," - ",E814,", ")</f>
        <v>MS iron scrap - 2.791, </v>
      </c>
      <c r="H814" s="309"/>
      <c r="I814" s="98" t="str">
        <f ca="1">IF(J813&gt;=3,(MID(I813,2,1)&amp;MID(I813,4,3)-K813),CELL("address",Z814))</f>
        <v>G815</v>
      </c>
      <c r="J814" s="98" t="str">
        <f ca="1">IF(J813&gt;=4,(MID(I814,1,1)&amp;MID(I814,2,3)+1),CELL("address",AA814))</f>
        <v>G816</v>
      </c>
      <c r="K814" s="98" t="str">
        <f ca="1">IF(J813&gt;=5,(MID(J814,1,1)&amp;MID(J814,2,3)+1),CELL("address",AB814))</f>
        <v>G817</v>
      </c>
      <c r="L814" s="98" t="str">
        <f ca="1">IF(J813&gt;=6,(MID(K814,1,1)&amp;MID(K814,2,3)+1),CELL("address",AC814))</f>
        <v>G818</v>
      </c>
      <c r="M814" s="98" t="str">
        <f ca="1">IF(J813&gt;=7,(MID(L814,1,1)&amp;MID(L814,2,3)+1),CELL("address",AD814))</f>
        <v>$AD$814</v>
      </c>
      <c r="N814" s="98" t="str">
        <f ca="1">IF(J813&gt;=8,(MID(M814,1,1)&amp;MID(M814,2,3)+1),CELL("address",AE814))</f>
        <v>$AE$814</v>
      </c>
      <c r="O814" s="98" t="str">
        <f ca="1">IF(J813&gt;=9,(MID(N814,1,1)&amp;MID(N814,2,3)+1),CELL("address",AF814))</f>
        <v>$AF$814</v>
      </c>
      <c r="P814" s="98" t="str">
        <f ca="1">IF(J813&gt;=10,(MID(O814,1,1)&amp;MID(O814,2,3)+1),CELL("address",AG814))</f>
        <v>$AG$814</v>
      </c>
      <c r="Q814" s="98" t="str">
        <f ca="1">IF(J813&gt;=11,(MID(P814,1,1)&amp;MID(P814,2,3)+1),CELL("address",AH814))</f>
        <v>$AH$814</v>
      </c>
      <c r="R814" s="98" t="str">
        <f ca="1">IF(J813&gt;=12,(MID(Q814,1,1)&amp;MID(Q814,2,3)+1),CELL("address",AI814))</f>
        <v>$AI$814</v>
      </c>
    </row>
    <row r="815" spans="1:8" ht="15" customHeight="1">
      <c r="A815" s="325"/>
      <c r="B815" s="326"/>
      <c r="C815" s="363"/>
      <c r="D815" s="81" t="s">
        <v>64</v>
      </c>
      <c r="E815" s="58">
        <v>0.17</v>
      </c>
      <c r="G815" s="92" t="str">
        <f>CONCATENATE(D815," - ",E815,", ")</f>
        <v>Teen Patra scrap - 0.17, </v>
      </c>
      <c r="H815" s="1"/>
    </row>
    <row r="816" spans="1:8" ht="15" customHeight="1">
      <c r="A816" s="325"/>
      <c r="B816" s="326"/>
      <c r="C816" s="363"/>
      <c r="D816" s="40" t="s">
        <v>61</v>
      </c>
      <c r="E816" s="58">
        <v>0.35</v>
      </c>
      <c r="G816" s="92" t="str">
        <f>CONCATENATE(D816," - ",E816,", ")</f>
        <v>MS Rail scrap - 0.35, </v>
      </c>
      <c r="H816" s="1"/>
    </row>
    <row r="817" spans="1:8" ht="15" customHeight="1">
      <c r="A817" s="327"/>
      <c r="B817" s="328"/>
      <c r="C817" s="364"/>
      <c r="D817" s="81" t="s">
        <v>198</v>
      </c>
      <c r="E817" s="58">
        <v>0.005</v>
      </c>
      <c r="G817" s="92" t="str">
        <f>CONCATENATE(D817," - ",E817,", ")</f>
        <v>M.S. Nuts &amp; Bolts Scrap - 0.005, </v>
      </c>
      <c r="H817" s="1"/>
    </row>
    <row r="818" spans="1:15" ht="15" customHeight="1">
      <c r="A818" s="304"/>
      <c r="B818" s="307"/>
      <c r="C818" s="254"/>
      <c r="D818" s="40"/>
      <c r="E818" s="58"/>
      <c r="F818" s="98"/>
      <c r="G818" s="98"/>
      <c r="H818" s="98"/>
      <c r="I818" s="98"/>
      <c r="J818" s="98"/>
      <c r="K818" s="98"/>
      <c r="L818" s="98"/>
      <c r="M818" s="98"/>
      <c r="N818" s="98"/>
      <c r="O818" s="98"/>
    </row>
    <row r="819" spans="1:15" ht="15" customHeight="1">
      <c r="A819" s="310"/>
      <c r="B819" s="311"/>
      <c r="C819" s="40"/>
      <c r="D819" s="56"/>
      <c r="E819" s="161">
        <f>SUM(E821:E821)</f>
        <v>100</v>
      </c>
      <c r="F819" s="98"/>
      <c r="G819" s="98"/>
      <c r="H819" s="98"/>
      <c r="I819" s="98" t="str">
        <f ca="1">IF(G818&gt;=6,(MID(H819,1,1)&amp;MID(H819,2,3)+1),CELL("address",Z819))</f>
        <v>$Z$819</v>
      </c>
      <c r="J819" s="98" t="str">
        <f ca="1">IF(G818&gt;=7,(MID(I819,1,1)&amp;MID(I819,2,3)+1),CELL("address",AA819))</f>
        <v>$AA$819</v>
      </c>
      <c r="K819" s="98" t="str">
        <f ca="1">IF(G818&gt;=8,(MID(J819,1,1)&amp;MID(J819,2,3)+1),CELL("address",AB819))</f>
        <v>$AB$819</v>
      </c>
      <c r="L819" s="98" t="str">
        <f ca="1">IF(G818&gt;=9,(MID(K819,1,1)&amp;MID(K819,2,3)+1),CELL("address",AC819))</f>
        <v>$AC$819</v>
      </c>
      <c r="M819" s="98" t="str">
        <f ca="1">IF(G818&gt;=10,(MID(L819,1,1)&amp;MID(L819,2,3)+1),CELL("address",AD819))</f>
        <v>$AD$819</v>
      </c>
      <c r="N819" s="98" t="str">
        <f ca="1">IF(G818&gt;=11,(MID(M819,1,1)&amp;MID(M819,2,3)+1),CELL("address",AE819))</f>
        <v>$AE$819</v>
      </c>
      <c r="O819" s="98" t="str">
        <f ca="1">IF(G818&gt;=12,(MID(N819,1,1)&amp;MID(N819,2,3)+1),CELL("address",AF819))</f>
        <v>$AF$819</v>
      </c>
    </row>
    <row r="820" spans="1:18" ht="15" customHeight="1">
      <c r="A820" s="306" t="s">
        <v>5</v>
      </c>
      <c r="B820" s="306"/>
      <c r="C820" s="40" t="s">
        <v>17</v>
      </c>
      <c r="D820" s="209" t="s">
        <v>18</v>
      </c>
      <c r="E820" s="39" t="s">
        <v>7</v>
      </c>
      <c r="G820" s="93" t="str">
        <f>CONCATENATE("Misc. Iron Scrap, Lying at ",C821,". Quantity in MT - ")</f>
        <v>Misc. Iron Scrap, Lying at S &amp; T Store Bathinda. Quantity in MT - </v>
      </c>
      <c r="H820" s="309" t="str">
        <f ca="1">CONCATENATE(G820,G821,(INDIRECT(I821)),(INDIRECT(J821)),(INDIRECT(K821)),(INDIRECT(L821)),(INDIRECT(M821)),(INDIRECT(N821)),(INDIRECT(O821)),(INDIRECT(P821)),(INDIRECT(Q821)),(INDIRECT(R821)),".")</f>
        <v>Misc. Iron Scrap, Lying at S &amp; T Store Bathinda. Quantity in MT - MS Rail scrap - 100, .</v>
      </c>
      <c r="I820" s="98" t="str">
        <f aca="true" ca="1" t="array" ref="I820">CELL("address",INDEX(G820:G840,MATCH(TRUE,ISBLANK(G820:G840),0)))</f>
        <v>$G$822</v>
      </c>
      <c r="J820" s="98">
        <f aca="true" t="array" ref="J820">MATCH(TRUE,ISBLANK(G820:G840),0)</f>
        <v>3</v>
      </c>
      <c r="K820" s="98">
        <f>J820-3</f>
        <v>0</v>
      </c>
      <c r="L820" s="98"/>
      <c r="M820" s="98"/>
      <c r="N820" s="98"/>
      <c r="O820" s="98"/>
      <c r="P820" s="98"/>
      <c r="Q820" s="98"/>
      <c r="R820" s="98"/>
    </row>
    <row r="821" spans="1:18" ht="15" customHeight="1">
      <c r="A821" s="306" t="s">
        <v>67</v>
      </c>
      <c r="B821" s="306"/>
      <c r="C821" s="254" t="s">
        <v>57</v>
      </c>
      <c r="D821" s="40" t="s">
        <v>61</v>
      </c>
      <c r="E821" s="69">
        <v>100</v>
      </c>
      <c r="G821" s="92" t="str">
        <f>CONCATENATE(D821," - ",E821,", ")</f>
        <v>MS Rail scrap - 100, </v>
      </c>
      <c r="H821" s="309"/>
      <c r="I821" s="98" t="str">
        <f ca="1">IF(J820&gt;=3,(MID(I820,2,1)&amp;MID(I820,4,3)-K820),CELL("address",Z821))</f>
        <v>G822</v>
      </c>
      <c r="J821" s="98" t="str">
        <f ca="1">IF(J820&gt;=4,(MID(I821,1,1)&amp;MID(I821,2,3)+1),CELL("address",AA821))</f>
        <v>$AA$821</v>
      </c>
      <c r="K821" s="98" t="str">
        <f ca="1">IF(J820&gt;=5,(MID(J821,1,1)&amp;MID(J821,2,3)+1),CELL("address",AB821))</f>
        <v>$AB$821</v>
      </c>
      <c r="L821" s="98" t="str">
        <f ca="1">IF(J820&gt;=6,(MID(K821,1,1)&amp;MID(K821,2,3)+1),CELL("address",AC821))</f>
        <v>$AC$821</v>
      </c>
      <c r="M821" s="98" t="str">
        <f ca="1">IF(J820&gt;=7,(MID(L821,1,1)&amp;MID(L821,2,3)+1),CELL("address",AD821))</f>
        <v>$AD$821</v>
      </c>
      <c r="N821" s="98" t="str">
        <f ca="1">IF(J820&gt;=8,(MID(M821,1,1)&amp;MID(M821,2,3)+1),CELL("address",AE821))</f>
        <v>$AE$821</v>
      </c>
      <c r="O821" s="98" t="str">
        <f ca="1">IF(J820&gt;=9,(MID(N821,1,1)&amp;MID(N821,2,3)+1),CELL("address",AF821))</f>
        <v>$AF$821</v>
      </c>
      <c r="P821" s="98" t="str">
        <f ca="1">IF(J820&gt;=10,(MID(O821,1,1)&amp;MID(O821,2,3)+1),CELL("address",AG821))</f>
        <v>$AG$821</v>
      </c>
      <c r="Q821" s="98" t="str">
        <f ca="1">IF(J820&gt;=11,(MID(P821,1,1)&amp;MID(P821,2,3)+1),CELL("address",AH821))</f>
        <v>$AH$821</v>
      </c>
      <c r="R821" s="98" t="str">
        <f ca="1">IF(J820&gt;=12,(MID(Q821,1,1)&amp;MID(Q821,2,3)+1),CELL("address",AI821))</f>
        <v>$AI$821</v>
      </c>
    </row>
    <row r="822" spans="1:8" ht="15" customHeight="1">
      <c r="A822" s="39"/>
      <c r="B822" s="41"/>
      <c r="C822" s="48"/>
      <c r="D822" s="41"/>
      <c r="E822" s="58"/>
      <c r="F822" s="120"/>
      <c r="H822" s="1"/>
    </row>
    <row r="823" spans="1:8" ht="15" customHeight="1">
      <c r="A823" s="53"/>
      <c r="B823" s="54"/>
      <c r="C823" s="54"/>
      <c r="D823" s="56"/>
      <c r="E823" s="57">
        <f>SUM(E825:E831)</f>
        <v>18.278</v>
      </c>
      <c r="H823" s="1"/>
    </row>
    <row r="824" spans="1:18" ht="15" customHeight="1">
      <c r="A824" s="306" t="s">
        <v>5</v>
      </c>
      <c r="B824" s="306"/>
      <c r="C824" s="40" t="s">
        <v>17</v>
      </c>
      <c r="D824" s="209" t="s">
        <v>18</v>
      </c>
      <c r="E824" s="39" t="s">
        <v>7</v>
      </c>
      <c r="G824" s="93" t="str">
        <f>CONCATENATE("Misc. Iron Scrap, Lying at ",C825,". Quantity in MT - ")</f>
        <v>Misc. Iron Scrap, Lying at CS Kotkapura. Quantity in MT - </v>
      </c>
      <c r="H824" s="309" t="str">
        <f ca="1">CONCATENATE(G824,G825,(INDIRECT(I825)),(INDIRECT(J825)),(INDIRECT(K825)),(INDIRECT(L825)),(INDIRECT(M825)),(INDIRECT(N825)),(INDIRECT(O825)),(INDIRECT(P825)),(INDIRECT(Q825)),(INDIRECT(R825)),".")</f>
        <v>Misc. Iron Scrap, Lying at CS Kotkapura. Quantity in MT - MS iron scrap - 5.62, Transformer body scrap - 5.854, Teen Patra scrap - 2.277, G.I. Scrap - 0.113, M.S. Nuts &amp; Bolts Scrap - 0.024, Tubular Poles scrap - 0.325, MS Rail scrap - 4.065, .</v>
      </c>
      <c r="I824" s="98" t="str">
        <f aca="true" ca="1" t="array" ref="I824">CELL("address",INDEX(G824:G844,MATCH(TRUE,ISBLANK(G824:G844),0)))</f>
        <v>$G$832</v>
      </c>
      <c r="J824" s="98">
        <f aca="true" t="array" ref="J824">MATCH(TRUE,ISBLANK(G824:G844),0)</f>
        <v>9</v>
      </c>
      <c r="K824" s="98">
        <f>J824-3</f>
        <v>6</v>
      </c>
      <c r="L824" s="98"/>
      <c r="M824" s="98"/>
      <c r="N824" s="98"/>
      <c r="O824" s="98"/>
      <c r="P824" s="98"/>
      <c r="Q824" s="98"/>
      <c r="R824" s="98"/>
    </row>
    <row r="825" spans="1:18" ht="15" customHeight="1">
      <c r="A825" s="306" t="s">
        <v>68</v>
      </c>
      <c r="B825" s="306"/>
      <c r="C825" s="308" t="s">
        <v>43</v>
      </c>
      <c r="D825" s="42" t="s">
        <v>29</v>
      </c>
      <c r="E825" s="58">
        <v>5.62</v>
      </c>
      <c r="G825" s="92" t="str">
        <f aca="true" t="shared" si="4" ref="G825:G831">CONCATENATE(D825," - ",E825,", ")</f>
        <v>MS iron scrap - 5.62, </v>
      </c>
      <c r="H825" s="309"/>
      <c r="I825" s="98" t="str">
        <f ca="1">IF(J824&gt;=3,(MID(I824,2,1)&amp;MID(I824,4,3)-K824),CELL("address",Z825))</f>
        <v>G826</v>
      </c>
      <c r="J825" s="98" t="str">
        <f ca="1">IF(J824&gt;=4,(MID(I825,1,1)&amp;MID(I825,2,3)+1),CELL("address",AA825))</f>
        <v>G827</v>
      </c>
      <c r="K825" s="98" t="str">
        <f ca="1">IF(J824&gt;=5,(MID(J825,1,1)&amp;MID(J825,2,3)+1),CELL("address",AB825))</f>
        <v>G828</v>
      </c>
      <c r="L825" s="98" t="str">
        <f ca="1">IF(J824&gt;=6,(MID(K825,1,1)&amp;MID(K825,2,3)+1),CELL("address",AC825))</f>
        <v>G829</v>
      </c>
      <c r="M825" s="98" t="str">
        <f ca="1">IF(J824&gt;=7,(MID(L825,1,1)&amp;MID(L825,2,3)+1),CELL("address",AD825))</f>
        <v>G830</v>
      </c>
      <c r="N825" s="98" t="str">
        <f ca="1">IF(J824&gt;=8,(MID(M825,1,1)&amp;MID(M825,2,3)+1),CELL("address",AE825))</f>
        <v>G831</v>
      </c>
      <c r="O825" s="98" t="str">
        <f ca="1">IF(J824&gt;=9,(MID(N825,1,1)&amp;MID(N825,2,3)+1),CELL("address",AF825))</f>
        <v>G832</v>
      </c>
      <c r="P825" s="98" t="str">
        <f ca="1">IF(J824&gt;=10,(MID(O825,1,1)&amp;MID(O825,2,3)+1),CELL("address",AG825))</f>
        <v>$AG$825</v>
      </c>
      <c r="Q825" s="98" t="str">
        <f ca="1">IF(J824&gt;=11,(MID(P825,1,1)&amp;MID(P825,2,3)+1),CELL("address",AH825))</f>
        <v>$AH$825</v>
      </c>
      <c r="R825" s="98" t="str">
        <f ca="1">IF(J824&gt;=12,(MID(Q825,1,1)&amp;MID(Q825,2,3)+1),CELL("address",AI825))</f>
        <v>$AI$825</v>
      </c>
    </row>
    <row r="826" spans="1:8" ht="15" customHeight="1">
      <c r="A826" s="306"/>
      <c r="B826" s="306"/>
      <c r="C826" s="308"/>
      <c r="D826" s="81" t="s">
        <v>60</v>
      </c>
      <c r="E826" s="58">
        <v>5.854</v>
      </c>
      <c r="G826" s="92" t="str">
        <f t="shared" si="4"/>
        <v>Transformer body scrap - 5.854, </v>
      </c>
      <c r="H826" s="1"/>
    </row>
    <row r="827" spans="1:15" ht="15" customHeight="1">
      <c r="A827" s="306"/>
      <c r="B827" s="306"/>
      <c r="C827" s="308"/>
      <c r="D827" s="81" t="s">
        <v>64</v>
      </c>
      <c r="E827" s="58">
        <v>2.277</v>
      </c>
      <c r="F827" s="98"/>
      <c r="G827" s="92" t="str">
        <f t="shared" si="4"/>
        <v>Teen Patra scrap - 2.277, </v>
      </c>
      <c r="H827" s="98"/>
      <c r="I827" s="98"/>
      <c r="J827" s="98"/>
      <c r="K827" s="98"/>
      <c r="L827" s="98"/>
      <c r="M827" s="98"/>
      <c r="N827" s="98"/>
      <c r="O827" s="98"/>
    </row>
    <row r="828" spans="1:15" ht="15" customHeight="1">
      <c r="A828" s="306"/>
      <c r="B828" s="306"/>
      <c r="C828" s="308"/>
      <c r="D828" s="81" t="s">
        <v>197</v>
      </c>
      <c r="E828" s="58">
        <v>0.113</v>
      </c>
      <c r="F828" s="98"/>
      <c r="G828" s="92" t="str">
        <f t="shared" si="4"/>
        <v>G.I. Scrap - 0.113, </v>
      </c>
      <c r="H828" s="98"/>
      <c r="I828" s="98" t="e">
        <f ca="1">IF(G827&gt;=6,(MID(H828,1,1)&amp;MID(H828,2,3)+1),CELL("address",Z828))</f>
        <v>#VALUE!</v>
      </c>
      <c r="J828" s="98" t="e">
        <f ca="1">IF(G827&gt;=7,(MID(I828,1,1)&amp;MID(I828,2,3)+1),CELL("address",AA828))</f>
        <v>#VALUE!</v>
      </c>
      <c r="K828" s="98" t="e">
        <f ca="1">IF(G827&gt;=8,(MID(J828,1,1)&amp;MID(J828,2,3)+1),CELL("address",AB828))</f>
        <v>#VALUE!</v>
      </c>
      <c r="L828" s="98" t="e">
        <f ca="1">IF(G827&gt;=9,(MID(K828,1,1)&amp;MID(K828,2,3)+1),CELL("address",AC828))</f>
        <v>#VALUE!</v>
      </c>
      <c r="M828" s="98" t="e">
        <f ca="1">IF(G827&gt;=10,(MID(L828,1,1)&amp;MID(L828,2,3)+1),CELL("address",AD828))</f>
        <v>#VALUE!</v>
      </c>
      <c r="N828" s="98" t="e">
        <f ca="1">IF(G827&gt;=11,(MID(M828,1,1)&amp;MID(M828,2,3)+1),CELL("address",AE828))</f>
        <v>#VALUE!</v>
      </c>
      <c r="O828" s="98" t="e">
        <f ca="1">IF(G827&gt;=12,(MID(N828,1,1)&amp;MID(N828,2,3)+1),CELL("address",AF828))</f>
        <v>#VALUE!</v>
      </c>
    </row>
    <row r="829" spans="1:8" ht="15" customHeight="1">
      <c r="A829" s="306"/>
      <c r="B829" s="306"/>
      <c r="C829" s="308"/>
      <c r="D829" s="81" t="s">
        <v>198</v>
      </c>
      <c r="E829" s="58">
        <v>0.024</v>
      </c>
      <c r="G829" s="92" t="str">
        <f t="shared" si="4"/>
        <v>M.S. Nuts &amp; Bolts Scrap - 0.024, </v>
      </c>
      <c r="H829" s="1"/>
    </row>
    <row r="830" spans="1:8" ht="15" customHeight="1">
      <c r="A830" s="306"/>
      <c r="B830" s="306"/>
      <c r="C830" s="308"/>
      <c r="D830" s="42" t="s">
        <v>362</v>
      </c>
      <c r="E830" s="58">
        <v>0.325</v>
      </c>
      <c r="G830" s="92" t="str">
        <f t="shared" si="4"/>
        <v>Tubular Poles scrap - 0.325, </v>
      </c>
      <c r="H830" s="1"/>
    </row>
    <row r="831" spans="1:8" ht="15" customHeight="1">
      <c r="A831" s="39"/>
      <c r="B831" s="41"/>
      <c r="C831" s="48"/>
      <c r="D831" s="40" t="s">
        <v>61</v>
      </c>
      <c r="E831" s="58">
        <v>4.065</v>
      </c>
      <c r="G831" s="92" t="str">
        <f t="shared" si="4"/>
        <v>MS Rail scrap - 4.065, </v>
      </c>
      <c r="H831" s="1"/>
    </row>
    <row r="832" spans="1:8" ht="15" customHeight="1">
      <c r="A832" s="39"/>
      <c r="B832" s="41"/>
      <c r="C832" s="48"/>
      <c r="D832" s="217"/>
      <c r="E832" s="177"/>
      <c r="F832" s="120"/>
      <c r="H832" s="1"/>
    </row>
    <row r="833" spans="1:15" ht="15" customHeight="1">
      <c r="A833" s="53"/>
      <c r="B833" s="54"/>
      <c r="C833" s="54"/>
      <c r="D833" s="56"/>
      <c r="E833" s="57">
        <f>SUM(E835:E837)</f>
        <v>7.625</v>
      </c>
      <c r="F833" s="98"/>
      <c r="G833" s="98"/>
      <c r="H833" s="98"/>
      <c r="I833" s="98"/>
      <c r="J833" s="98"/>
      <c r="K833" s="98"/>
      <c r="L833" s="98"/>
      <c r="M833" s="98"/>
      <c r="N833" s="98"/>
      <c r="O833" s="98"/>
    </row>
    <row r="834" spans="1:18" ht="15" customHeight="1">
      <c r="A834" s="313" t="s">
        <v>5</v>
      </c>
      <c r="B834" s="313"/>
      <c r="C834" s="70" t="s">
        <v>17</v>
      </c>
      <c r="D834" s="209" t="s">
        <v>18</v>
      </c>
      <c r="E834" s="39" t="s">
        <v>7</v>
      </c>
      <c r="F834" s="98"/>
      <c r="G834" s="93" t="str">
        <f>CONCATENATE("Misc. Iron Scrap, Lying at ",C835,". Quantity in MT - ")</f>
        <v>Misc. Iron Scrap, Lying at OL Bhagta Bhai Ka. Quantity in MT - </v>
      </c>
      <c r="H834" s="309" t="str">
        <f ca="1">CONCATENATE(G834,G835,(INDIRECT(I835)),(INDIRECT(J835)),(INDIRECT(K835)),(INDIRECT(L835)),(INDIRECT(M835)),(INDIRECT(N835)),(INDIRECT(O835)),(INDIRECT(P835)),(INDIRECT(Q835)),(INDIRECT(R835)),".")</f>
        <v>Misc. Iron Scrap, Lying at OL Bhagta Bhai Ka. Quantity in MT - MS iron scrap - 1.234, Transformer body scrap - 6.343, Teen Patra scrap - 0.048, .</v>
      </c>
      <c r="I834" s="98" t="str">
        <f aca="true" ca="1" t="array" ref="I834">CELL("address",INDEX(G834:G853,MATCH(TRUE,ISBLANK(G834:G853),0)))</f>
        <v>$G$838</v>
      </c>
      <c r="J834" s="98">
        <f aca="true" t="array" ref="J834">MATCH(TRUE,ISBLANK(G834:G853),0)</f>
        <v>5</v>
      </c>
      <c r="K834" s="98">
        <f>J834-3</f>
        <v>2</v>
      </c>
      <c r="L834" s="98"/>
      <c r="M834" s="98"/>
      <c r="N834" s="98"/>
      <c r="O834" s="98"/>
      <c r="P834" s="98"/>
      <c r="Q834" s="98"/>
      <c r="R834" s="98"/>
    </row>
    <row r="835" spans="1:18" ht="15" customHeight="1">
      <c r="A835" s="306" t="s">
        <v>175</v>
      </c>
      <c r="B835" s="306"/>
      <c r="C835" s="308" t="s">
        <v>100</v>
      </c>
      <c r="D835" s="42" t="s">
        <v>29</v>
      </c>
      <c r="E835" s="69">
        <v>1.234</v>
      </c>
      <c r="G835" s="92" t="str">
        <f>CONCATENATE(D835," - ",E835,", ")</f>
        <v>MS iron scrap - 1.234, </v>
      </c>
      <c r="H835" s="309"/>
      <c r="I835" s="98" t="str">
        <f ca="1">IF(J834&gt;=3,(MID(I834,2,1)&amp;MID(I834,4,3)-K834),CELL("address",Z835))</f>
        <v>G836</v>
      </c>
      <c r="J835" s="98" t="str">
        <f ca="1">IF(J834&gt;=4,(MID(I835,1,1)&amp;MID(I835,2,3)+1),CELL("address",AA835))</f>
        <v>G837</v>
      </c>
      <c r="K835" s="98" t="str">
        <f ca="1">IF(J834&gt;=5,(MID(J835,1,1)&amp;MID(J835,2,3)+1),CELL("address",AB835))</f>
        <v>G838</v>
      </c>
      <c r="L835" s="98" t="str">
        <f ca="1">IF(J834&gt;=6,(MID(K835,1,1)&amp;MID(K835,2,3)+1),CELL("address",AC835))</f>
        <v>$AC$835</v>
      </c>
      <c r="M835" s="98" t="str">
        <f ca="1">IF(J834&gt;=7,(MID(L835,1,1)&amp;MID(L835,2,3)+1),CELL("address",AD835))</f>
        <v>$AD$835</v>
      </c>
      <c r="N835" s="98" t="str">
        <f ca="1">IF(J834&gt;=8,(MID(M835,1,1)&amp;MID(M835,2,3)+1),CELL("address",AE835))</f>
        <v>$AE$835</v>
      </c>
      <c r="O835" s="98" t="str">
        <f ca="1">IF(J834&gt;=9,(MID(N835,1,1)&amp;MID(N835,2,3)+1),CELL("address",AF835))</f>
        <v>$AF$835</v>
      </c>
      <c r="P835" s="98" t="str">
        <f ca="1">IF(J834&gt;=10,(MID(O835,1,1)&amp;MID(O835,2,3)+1),CELL("address",AG835))</f>
        <v>$AG$835</v>
      </c>
      <c r="Q835" s="98" t="str">
        <f ca="1">IF(J834&gt;=11,(MID(P835,1,1)&amp;MID(P835,2,3)+1),CELL("address",AH835))</f>
        <v>$AH$835</v>
      </c>
      <c r="R835" s="98" t="str">
        <f ca="1">IF(J834&gt;=12,(MID(Q835,1,1)&amp;MID(Q835,2,3)+1),CELL("address",AI835))</f>
        <v>$AI$835</v>
      </c>
    </row>
    <row r="836" spans="1:8" ht="15" customHeight="1">
      <c r="A836" s="306"/>
      <c r="B836" s="306"/>
      <c r="C836" s="308"/>
      <c r="D836" s="81" t="s">
        <v>60</v>
      </c>
      <c r="E836" s="69">
        <v>6.343</v>
      </c>
      <c r="G836" s="92" t="str">
        <f>CONCATENATE(D836," - ",E836,", ")</f>
        <v>Transformer body scrap - 6.343, </v>
      </c>
      <c r="H836" s="1"/>
    </row>
    <row r="837" spans="1:8" ht="15" customHeight="1">
      <c r="A837" s="306"/>
      <c r="B837" s="306"/>
      <c r="C837" s="308"/>
      <c r="D837" s="81" t="s">
        <v>64</v>
      </c>
      <c r="E837" s="58">
        <v>0.048</v>
      </c>
      <c r="G837" s="92" t="str">
        <f>CONCATENATE(D837," - ",E837,", ")</f>
        <v>Teen Patra scrap - 0.048, </v>
      </c>
      <c r="H837" s="1"/>
    </row>
    <row r="838" spans="1:8" ht="15" customHeight="1">
      <c r="A838" s="39"/>
      <c r="B838" s="41"/>
      <c r="C838" s="48"/>
      <c r="D838" s="217"/>
      <c r="E838" s="177"/>
      <c r="H838" s="1"/>
    </row>
    <row r="839" spans="1:8" ht="15" customHeight="1">
      <c r="A839" s="53"/>
      <c r="B839" s="54"/>
      <c r="C839" s="54"/>
      <c r="D839" s="56"/>
      <c r="E839" s="57">
        <f>SUM(E841:E843)</f>
        <v>3.7880000000000003</v>
      </c>
      <c r="H839" s="1"/>
    </row>
    <row r="840" spans="1:18" ht="15" customHeight="1">
      <c r="A840" s="313" t="s">
        <v>5</v>
      </c>
      <c r="B840" s="313"/>
      <c r="C840" s="70" t="s">
        <v>17</v>
      </c>
      <c r="D840" s="209" t="s">
        <v>18</v>
      </c>
      <c r="E840" s="39" t="s">
        <v>7</v>
      </c>
      <c r="F840" s="98"/>
      <c r="G840" s="93" t="str">
        <f>CONCATENATE("Misc. Iron Scrap, Lying at ",C841,". Quantity in MT - ")</f>
        <v>Misc. Iron Scrap, Lying at OL Shri Mukfsar Sahib. Quantity in MT - </v>
      </c>
      <c r="H840" s="309" t="str">
        <f ca="1">CONCATENATE(G840,G841,(INDIRECT(I841)),(INDIRECT(J841)),(INDIRECT(K841)),(INDIRECT(L841)),(INDIRECT(M841)),(INDIRECT(N841)),(INDIRECT(O841)),(INDIRECT(P841)),(INDIRECT(Q841)),(INDIRECT(R841)),".")</f>
        <v>Misc. Iron Scrap, Lying at OL Shri Mukfsar Sahib. Quantity in MT - MS iron scrap - 1.233, Transformer body scrap - 2.302, G.I. scrap - 0.253, .</v>
      </c>
      <c r="I840" s="98" t="str">
        <f aca="true" ca="1" t="array" ref="I840">CELL("address",INDEX(G840:G857,MATCH(TRUE,ISBLANK(G840:G857),0)))</f>
        <v>$G$844</v>
      </c>
      <c r="J840" s="98">
        <f aca="true" t="array" ref="J840">MATCH(TRUE,ISBLANK(G840:G857),0)</f>
        <v>5</v>
      </c>
      <c r="K840" s="98">
        <f>J840-3</f>
        <v>2</v>
      </c>
      <c r="L840" s="98"/>
      <c r="M840" s="98"/>
      <c r="N840" s="98"/>
      <c r="O840" s="98"/>
      <c r="P840" s="98"/>
      <c r="Q840" s="98"/>
      <c r="R840" s="98"/>
    </row>
    <row r="841" spans="1:18" ht="15" customHeight="1">
      <c r="A841" s="306" t="s">
        <v>119</v>
      </c>
      <c r="B841" s="306"/>
      <c r="C841" s="308" t="s">
        <v>312</v>
      </c>
      <c r="D841" s="42" t="s">
        <v>29</v>
      </c>
      <c r="E841" s="69">
        <v>1.233</v>
      </c>
      <c r="F841" s="98"/>
      <c r="G841" s="92" t="str">
        <f>CONCATENATE(D841," - ",E841,", ")</f>
        <v>MS iron scrap - 1.233, </v>
      </c>
      <c r="H841" s="309"/>
      <c r="I841" s="98" t="str">
        <f ca="1">IF(J840&gt;=3,(MID(I840,2,1)&amp;MID(I840,4,3)-K840),CELL("address",Z841))</f>
        <v>G842</v>
      </c>
      <c r="J841" s="98" t="str">
        <f ca="1">IF(J840&gt;=4,(MID(I841,1,1)&amp;MID(I841,2,3)+1),CELL("address",AA841))</f>
        <v>G843</v>
      </c>
      <c r="K841" s="98" t="str">
        <f ca="1">IF(J840&gt;=5,(MID(J841,1,1)&amp;MID(J841,2,3)+1),CELL("address",AB841))</f>
        <v>G844</v>
      </c>
      <c r="L841" s="98" t="str">
        <f ca="1">IF(J840&gt;=6,(MID(K841,1,1)&amp;MID(K841,2,3)+1),CELL("address",AC841))</f>
        <v>$AC$841</v>
      </c>
      <c r="M841" s="98" t="str">
        <f ca="1">IF(J840&gt;=7,(MID(L841,1,1)&amp;MID(L841,2,3)+1),CELL("address",AD841))</f>
        <v>$AD$841</v>
      </c>
      <c r="N841" s="98" t="str">
        <f ca="1">IF(J840&gt;=8,(MID(M841,1,1)&amp;MID(M841,2,3)+1),CELL("address",AE841))</f>
        <v>$AE$841</v>
      </c>
      <c r="O841" s="98" t="str">
        <f ca="1">IF(J840&gt;=9,(MID(N841,1,1)&amp;MID(N841,2,3)+1),CELL("address",AF841))</f>
        <v>$AF$841</v>
      </c>
      <c r="P841" s="98" t="str">
        <f ca="1">IF(J840&gt;=10,(MID(O841,1,1)&amp;MID(O841,2,3)+1),CELL("address",AG841))</f>
        <v>$AG$841</v>
      </c>
      <c r="Q841" s="98" t="str">
        <f ca="1">IF(J840&gt;=11,(MID(P841,1,1)&amp;MID(P841,2,3)+1),CELL("address",AH841))</f>
        <v>$AH$841</v>
      </c>
      <c r="R841" s="98" t="str">
        <f ca="1">IF(J840&gt;=12,(MID(Q841,1,1)&amp;MID(Q841,2,3)+1),CELL("address",AI841))</f>
        <v>$AI$841</v>
      </c>
    </row>
    <row r="842" spans="1:15" ht="15" customHeight="1">
      <c r="A842" s="306"/>
      <c r="B842" s="306"/>
      <c r="C842" s="308"/>
      <c r="D842" s="81" t="s">
        <v>60</v>
      </c>
      <c r="E842" s="69">
        <v>2.302</v>
      </c>
      <c r="F842" s="98"/>
      <c r="G842" s="92" t="str">
        <f>CONCATENATE(D842," - ",E842,", ")</f>
        <v>Transformer body scrap - 2.302, </v>
      </c>
      <c r="H842" s="98"/>
      <c r="I842" s="98"/>
      <c r="J842" s="98"/>
      <c r="K842" s="98"/>
      <c r="L842" s="98"/>
      <c r="M842" s="98"/>
      <c r="N842" s="98"/>
      <c r="O842" s="98"/>
    </row>
    <row r="843" spans="1:15" ht="15" customHeight="1">
      <c r="A843" s="306"/>
      <c r="B843" s="306"/>
      <c r="C843" s="308"/>
      <c r="D843" s="81" t="s">
        <v>192</v>
      </c>
      <c r="E843" s="58">
        <v>0.253</v>
      </c>
      <c r="F843" s="98"/>
      <c r="G843" s="92" t="str">
        <f>CONCATENATE(D843," - ",E843,", ")</f>
        <v>G.I. scrap - 0.253, </v>
      </c>
      <c r="H843" s="98"/>
      <c r="I843" s="98"/>
      <c r="J843" s="98"/>
      <c r="K843" s="98"/>
      <c r="L843" s="98"/>
      <c r="M843" s="98"/>
      <c r="N843" s="98"/>
      <c r="O843" s="98"/>
    </row>
    <row r="844" spans="1:15" ht="15" customHeight="1">
      <c r="A844" s="39"/>
      <c r="B844" s="41"/>
      <c r="C844" s="48"/>
      <c r="D844" s="217"/>
      <c r="E844" s="177"/>
      <c r="F844" s="98"/>
      <c r="G844" s="98"/>
      <c r="H844" s="98"/>
      <c r="I844" s="98"/>
      <c r="J844" s="98"/>
      <c r="K844" s="98"/>
      <c r="L844" s="98"/>
      <c r="M844" s="98"/>
      <c r="N844" s="98"/>
      <c r="O844" s="98"/>
    </row>
    <row r="845" spans="1:15" ht="15" customHeight="1">
      <c r="A845" s="53"/>
      <c r="B845" s="54"/>
      <c r="C845" s="54"/>
      <c r="D845" s="56"/>
      <c r="E845" s="57">
        <f>SUM(E847:E848)</f>
        <v>3.643</v>
      </c>
      <c r="F845" s="194"/>
      <c r="G845" s="98"/>
      <c r="H845" s="98"/>
      <c r="I845" s="98"/>
      <c r="J845" s="98"/>
      <c r="K845" s="98"/>
      <c r="L845" s="98"/>
      <c r="M845" s="98"/>
      <c r="N845" s="98"/>
      <c r="O845" s="98"/>
    </row>
    <row r="846" spans="1:18" ht="15" customHeight="1">
      <c r="A846" s="313" t="s">
        <v>5</v>
      </c>
      <c r="B846" s="313"/>
      <c r="C846" s="70" t="s">
        <v>17</v>
      </c>
      <c r="D846" s="209" t="s">
        <v>18</v>
      </c>
      <c r="E846" s="39" t="s">
        <v>7</v>
      </c>
      <c r="F846" s="98"/>
      <c r="G846" s="93" t="str">
        <f>CONCATENATE("Misc. Iron Scrap, Lying at ",C847,". Quantity in MT - ")</f>
        <v>Misc. Iron Scrap, Lying at OL Rajpura. Quantity in MT - </v>
      </c>
      <c r="H846" s="309" t="str">
        <f ca="1">CONCATENATE(G846,G847,(INDIRECT(I847)),(INDIRECT(J847)),(INDIRECT(K847)),(INDIRECT(L847)),(INDIRECT(M847)),(INDIRECT(N847)),(INDIRECT(O847)),(INDIRECT(P847)),(INDIRECT(Q847)),(INDIRECT(R847)),".")</f>
        <v>Misc. Iron Scrap, Lying at OL Rajpura. Quantity in MT - MS iron scrap - 2.193, MS Rail scrap - 1.45, .</v>
      </c>
      <c r="I846" s="98" t="str">
        <f aca="true" ca="1" t="array" ref="I846">CELL("address",INDEX(G846:G864,MATCH(TRUE,ISBLANK(G846:G864),0)))</f>
        <v>$G$849</v>
      </c>
      <c r="J846" s="98">
        <f aca="true" t="array" ref="J846">MATCH(TRUE,ISBLANK(G846:G864),0)</f>
        <v>4</v>
      </c>
      <c r="K846" s="98">
        <f>J846-3</f>
        <v>1</v>
      </c>
      <c r="L846" s="98"/>
      <c r="M846" s="98"/>
      <c r="N846" s="98"/>
      <c r="O846" s="98"/>
      <c r="P846" s="98"/>
      <c r="Q846" s="98"/>
      <c r="R846" s="98"/>
    </row>
    <row r="847" spans="1:18" ht="15" customHeight="1">
      <c r="A847" s="306" t="s">
        <v>199</v>
      </c>
      <c r="B847" s="306"/>
      <c r="C847" s="308" t="s">
        <v>103</v>
      </c>
      <c r="D847" s="42" t="s">
        <v>29</v>
      </c>
      <c r="E847" s="69">
        <v>2.193</v>
      </c>
      <c r="F847" s="208"/>
      <c r="G847" s="92" t="str">
        <f>CONCATENATE(D847," - ",E847,", ")</f>
        <v>MS iron scrap - 2.193, </v>
      </c>
      <c r="H847" s="309"/>
      <c r="I847" s="98" t="str">
        <f ca="1">IF(J846&gt;=3,(MID(I846,2,1)&amp;MID(I846,4,3)-K846),CELL("address",Z847))</f>
        <v>G848</v>
      </c>
      <c r="J847" s="98" t="str">
        <f ca="1">IF(J846&gt;=4,(MID(I847,1,1)&amp;MID(I847,2,3)+1),CELL("address",AA847))</f>
        <v>G849</v>
      </c>
      <c r="K847" s="98" t="str">
        <f ca="1">IF(J846&gt;=5,(MID(J847,1,1)&amp;MID(J847,2,3)+1),CELL("address",AB847))</f>
        <v>$AB$847</v>
      </c>
      <c r="L847" s="98" t="str">
        <f ca="1">IF(J846&gt;=6,(MID(K847,1,1)&amp;MID(K847,2,3)+1),CELL("address",AC847))</f>
        <v>$AC$847</v>
      </c>
      <c r="M847" s="98" t="str">
        <f ca="1">IF(J846&gt;=7,(MID(L847,1,1)&amp;MID(L847,2,3)+1),CELL("address",AD847))</f>
        <v>$AD$847</v>
      </c>
      <c r="N847" s="98" t="str">
        <f ca="1">IF(J846&gt;=8,(MID(M847,1,1)&amp;MID(M847,2,3)+1),CELL("address",AE847))</f>
        <v>$AE$847</v>
      </c>
      <c r="O847" s="98" t="str">
        <f ca="1">IF(J846&gt;=9,(MID(N847,1,1)&amp;MID(N847,2,3)+1),CELL("address",AF847))</f>
        <v>$AF$847</v>
      </c>
      <c r="P847" s="98" t="str">
        <f ca="1">IF(J846&gt;=10,(MID(O847,1,1)&amp;MID(O847,2,3)+1),CELL("address",AG847))</f>
        <v>$AG$847</v>
      </c>
      <c r="Q847" s="98" t="str">
        <f ca="1">IF(J846&gt;=11,(MID(P847,1,1)&amp;MID(P847,2,3)+1),CELL("address",AH847))</f>
        <v>$AH$847</v>
      </c>
      <c r="R847" s="98" t="str">
        <f ca="1">IF(J846&gt;=12,(MID(Q847,1,1)&amp;MID(Q847,2,3)+1),CELL("address",AI847))</f>
        <v>$AI$847</v>
      </c>
    </row>
    <row r="848" spans="1:15" ht="15" customHeight="1">
      <c r="A848" s="306"/>
      <c r="B848" s="306"/>
      <c r="C848" s="308"/>
      <c r="D848" s="40" t="s">
        <v>61</v>
      </c>
      <c r="E848" s="58">
        <v>1.45</v>
      </c>
      <c r="F848" s="193"/>
      <c r="G848" s="92" t="str">
        <f>CONCATENATE(D848," - ",E848,", ")</f>
        <v>MS Rail scrap - 1.45, </v>
      </c>
      <c r="H848" s="98"/>
      <c r="I848" s="98"/>
      <c r="J848" s="98"/>
      <c r="K848" s="98"/>
      <c r="L848" s="98"/>
      <c r="M848" s="98"/>
      <c r="N848" s="98"/>
      <c r="O848" s="98"/>
    </row>
    <row r="849" spans="1:15" ht="15" customHeight="1">
      <c r="A849" s="39"/>
      <c r="B849" s="41"/>
      <c r="C849" s="48"/>
      <c r="D849" s="41"/>
      <c r="E849" s="58"/>
      <c r="F849" s="98"/>
      <c r="G849" s="98"/>
      <c r="H849" s="98"/>
      <c r="I849" s="98"/>
      <c r="J849" s="98"/>
      <c r="K849" s="98"/>
      <c r="L849" s="98"/>
      <c r="M849" s="98"/>
      <c r="N849" s="98"/>
      <c r="O849" s="98"/>
    </row>
    <row r="850" spans="1:15" ht="15" customHeight="1">
      <c r="A850" s="53"/>
      <c r="B850" s="54"/>
      <c r="C850" s="54"/>
      <c r="D850" s="56"/>
      <c r="E850" s="57">
        <f>SUM(E852:E852)</f>
        <v>2</v>
      </c>
      <c r="F850" s="98"/>
      <c r="G850" s="98"/>
      <c r="H850" s="98"/>
      <c r="I850" s="98" t="str">
        <f ca="1">IF(G849&gt;=6,(MID(H850,1,1)&amp;MID(H850,2,3)+1),CELL("address",Z850))</f>
        <v>$Z$850</v>
      </c>
      <c r="J850" s="98" t="str">
        <f ca="1">IF(G849&gt;=7,(MID(I850,1,1)&amp;MID(I850,2,3)+1),CELL("address",AA850))</f>
        <v>$AA$850</v>
      </c>
      <c r="K850" s="98" t="str">
        <f ca="1">IF(G849&gt;=8,(MID(J850,1,1)&amp;MID(J850,2,3)+1),CELL("address",AB850))</f>
        <v>$AB$850</v>
      </c>
      <c r="L850" s="98" t="str">
        <f ca="1">IF(G849&gt;=9,(MID(K850,1,1)&amp;MID(K850,2,3)+1),CELL("address",AC850))</f>
        <v>$AC$850</v>
      </c>
      <c r="M850" s="98" t="str">
        <f ca="1">IF(G849&gt;=10,(MID(L850,1,1)&amp;MID(L850,2,3)+1),CELL("address",AD850))</f>
        <v>$AD$850</v>
      </c>
      <c r="N850" s="98" t="str">
        <f ca="1">IF(G849&gt;=11,(MID(M850,1,1)&amp;MID(M850,2,3)+1),CELL("address",AE850))</f>
        <v>$AE$850</v>
      </c>
      <c r="O850" s="98" t="str">
        <f ca="1">IF(G849&gt;=12,(MID(N850,1,1)&amp;MID(N850,2,3)+1),CELL("address",AF850))</f>
        <v>$AF$850</v>
      </c>
    </row>
    <row r="851" spans="1:18" ht="15" customHeight="1">
      <c r="A851" s="313" t="s">
        <v>5</v>
      </c>
      <c r="B851" s="313"/>
      <c r="C851" s="70" t="s">
        <v>17</v>
      </c>
      <c r="D851" s="209" t="s">
        <v>18</v>
      </c>
      <c r="E851" s="39" t="s">
        <v>69</v>
      </c>
      <c r="F851" s="98"/>
      <c r="G851" s="93" t="str">
        <f>CONCATENATE("U/S Tyres, Lying at ",C852,". Quantity in No - ")</f>
        <v>U/S Tyres, Lying at CS Sangrur. Quantity in No - </v>
      </c>
      <c r="H851" s="309" t="str">
        <f ca="1">CONCATENATE(G851,G852,(INDIRECT(I852)),(INDIRECT(J852)),(INDIRECT(K852)),(INDIRECT(L852)),(INDIRECT(M852)),(INDIRECT(N852)),(INDIRECT(O852)),(INDIRECT(P852)),(INDIRECT(Q852)),(INDIRECT(R852)),".")</f>
        <v>U/S Tyres, Lying at CS Sangrur. Quantity in No - U/S Tyres - 2, .</v>
      </c>
      <c r="I851" s="98" t="str">
        <f aca="true" ca="1" t="array" ref="I851">CELL("address",INDEX(G851:G869,MATCH(TRUE,ISBLANK(G851:G869),0)))</f>
        <v>$G$853</v>
      </c>
      <c r="J851" s="98">
        <f aca="true" t="array" ref="J851">MATCH(TRUE,ISBLANK(G851:G869),0)</f>
        <v>3</v>
      </c>
      <c r="K851" s="98">
        <f>J851-3</f>
        <v>0</v>
      </c>
      <c r="L851" s="98"/>
      <c r="M851" s="98"/>
      <c r="N851" s="98"/>
      <c r="O851" s="98"/>
      <c r="P851" s="98"/>
      <c r="Q851" s="98"/>
      <c r="R851" s="98"/>
    </row>
    <row r="852" spans="1:18" ht="15" customHeight="1">
      <c r="A852" s="306" t="s">
        <v>206</v>
      </c>
      <c r="B852" s="306"/>
      <c r="C852" s="254" t="s">
        <v>79</v>
      </c>
      <c r="D852" s="42" t="s">
        <v>336</v>
      </c>
      <c r="E852" s="69">
        <v>2</v>
      </c>
      <c r="F852" s="98"/>
      <c r="G852" s="92" t="str">
        <f>CONCATENATE(D852," - ",E852,", ")</f>
        <v>U/S Tyres - 2, </v>
      </c>
      <c r="H852" s="309"/>
      <c r="I852" s="98" t="str">
        <f ca="1">IF(J851&gt;=3,(MID(I851,2,1)&amp;MID(I851,4,3)-K851),CELL("address",Z852))</f>
        <v>G853</v>
      </c>
      <c r="J852" s="98" t="str">
        <f ca="1">IF(J851&gt;=4,(MID(I852,1,1)&amp;MID(I852,2,3)+1),CELL("address",AA852))</f>
        <v>$AA$852</v>
      </c>
      <c r="K852" s="98" t="str">
        <f ca="1">IF(J851&gt;=5,(MID(J852,1,1)&amp;MID(J852,2,3)+1),CELL("address",AB852))</f>
        <v>$AB$852</v>
      </c>
      <c r="L852" s="98" t="str">
        <f ca="1">IF(J851&gt;=6,(MID(K852,1,1)&amp;MID(K852,2,3)+1),CELL("address",AC852))</f>
        <v>$AC$852</v>
      </c>
      <c r="M852" s="98" t="str">
        <f ca="1">IF(J851&gt;=7,(MID(L852,1,1)&amp;MID(L852,2,3)+1),CELL("address",AD852))</f>
        <v>$AD$852</v>
      </c>
      <c r="N852" s="98" t="str">
        <f ca="1">IF(J851&gt;=8,(MID(M852,1,1)&amp;MID(M852,2,3)+1),CELL("address",AE852))</f>
        <v>$AE$852</v>
      </c>
      <c r="O852" s="98" t="str">
        <f ca="1">IF(J851&gt;=9,(MID(N852,1,1)&amp;MID(N852,2,3)+1),CELL("address",AF852))</f>
        <v>$AF$852</v>
      </c>
      <c r="P852" s="98" t="str">
        <f ca="1">IF(J851&gt;=10,(MID(O852,1,1)&amp;MID(O852,2,3)+1),CELL("address",AG852))</f>
        <v>$AG$852</v>
      </c>
      <c r="Q852" s="98" t="str">
        <f ca="1">IF(J851&gt;=11,(MID(P852,1,1)&amp;MID(P852,2,3)+1),CELL("address",AH852))</f>
        <v>$AH$852</v>
      </c>
      <c r="R852" s="98" t="str">
        <f ca="1">IF(J851&gt;=12,(MID(Q852,1,1)&amp;MID(Q852,2,3)+1),CELL("address",AI852))</f>
        <v>$AI$852</v>
      </c>
    </row>
    <row r="853" spans="1:15" ht="15" customHeight="1">
      <c r="A853" s="39"/>
      <c r="B853" s="41"/>
      <c r="C853" s="48"/>
      <c r="D853" s="41"/>
      <c r="E853" s="58"/>
      <c r="F853" s="98"/>
      <c r="G853" s="98"/>
      <c r="H853" s="98"/>
      <c r="I853" s="98"/>
      <c r="J853" s="98"/>
      <c r="K853" s="98"/>
      <c r="L853" s="98"/>
      <c r="M853" s="98"/>
      <c r="N853" s="98"/>
      <c r="O853" s="98"/>
    </row>
    <row r="854" spans="1:15" ht="15" customHeight="1">
      <c r="A854" s="53"/>
      <c r="B854" s="54"/>
      <c r="C854" s="54"/>
      <c r="D854" s="56"/>
      <c r="E854" s="57">
        <f>SUM(E856:E857)</f>
        <v>105</v>
      </c>
      <c r="F854" s="98"/>
      <c r="G854" s="98"/>
      <c r="H854" s="98"/>
      <c r="I854" s="98"/>
      <c r="J854" s="98"/>
      <c r="K854" s="98"/>
      <c r="L854" s="98"/>
      <c r="M854" s="98"/>
      <c r="N854" s="98"/>
      <c r="O854" s="98"/>
    </row>
    <row r="855" spans="1:18" ht="15" customHeight="1">
      <c r="A855" s="313" t="s">
        <v>5</v>
      </c>
      <c r="B855" s="313"/>
      <c r="C855" s="70" t="s">
        <v>17</v>
      </c>
      <c r="D855" s="209" t="s">
        <v>18</v>
      </c>
      <c r="E855" s="39" t="s">
        <v>69</v>
      </c>
      <c r="F855" s="98"/>
      <c r="G855" s="93" t="str">
        <f>CONCATENATE("U/S Tyres and Tubes , Lying at ",C856,". Quantity in No - ")</f>
        <v>U/S Tyres and Tubes , Lying at CS Patiala. Quantity in No - </v>
      </c>
      <c r="H855" s="309" t="str">
        <f ca="1">CONCATENATE(G855,G856,(INDIRECT(I856)),(INDIRECT(J856)),(INDIRECT(K856)),(INDIRECT(L856)),(INDIRECT(M856)),(INDIRECT(N856)),(INDIRECT(O856)),(INDIRECT(P856)),(INDIRECT(Q856)),(INDIRECT(R856)),".")</f>
        <v>U/S Tyres and Tubes , Lying at CS Patiala. Quantity in No - U/S Tyres - 60, U/S Tubes - 45, .</v>
      </c>
      <c r="I855" s="98" t="str">
        <f aca="true" ca="1" t="array" ref="I855">CELL("address",INDEX(G855:G873,MATCH(TRUE,ISBLANK(G855:G873),0)))</f>
        <v>$G$858</v>
      </c>
      <c r="J855" s="98">
        <f aca="true" t="array" ref="J855">MATCH(TRUE,ISBLANK(G855:G873),0)</f>
        <v>4</v>
      </c>
      <c r="K855" s="98">
        <f>J855-3</f>
        <v>1</v>
      </c>
      <c r="L855" s="98"/>
      <c r="M855" s="98"/>
      <c r="N855" s="98"/>
      <c r="O855" s="98"/>
      <c r="P855" s="98"/>
      <c r="Q855" s="98"/>
      <c r="R855" s="98"/>
    </row>
    <row r="856" spans="1:18" ht="15" customHeight="1">
      <c r="A856" s="306" t="s">
        <v>207</v>
      </c>
      <c r="B856" s="306"/>
      <c r="C856" s="308" t="s">
        <v>52</v>
      </c>
      <c r="D856" s="40" t="s">
        <v>336</v>
      </c>
      <c r="E856" s="236">
        <v>60</v>
      </c>
      <c r="F856" s="98"/>
      <c r="G856" s="92" t="str">
        <f>CONCATENATE(D856," - ",E856,", ")</f>
        <v>U/S Tyres - 60, </v>
      </c>
      <c r="H856" s="309"/>
      <c r="I856" s="98" t="str">
        <f ca="1">IF(J855&gt;=3,(MID(I855,2,1)&amp;MID(I855,4,3)-K855),CELL("address",Z856))</f>
        <v>G857</v>
      </c>
      <c r="J856" s="98" t="str">
        <f ca="1">IF(J855&gt;=4,(MID(I856,1,1)&amp;MID(I856,2,3)+1),CELL("address",AA856))</f>
        <v>G858</v>
      </c>
      <c r="K856" s="98" t="str">
        <f ca="1">IF(J855&gt;=5,(MID(J856,1,1)&amp;MID(J856,2,3)+1),CELL("address",AB856))</f>
        <v>$AB$856</v>
      </c>
      <c r="L856" s="98" t="str">
        <f ca="1">IF(J855&gt;=6,(MID(K856,1,1)&amp;MID(K856,2,3)+1),CELL("address",AC856))</f>
        <v>$AC$856</v>
      </c>
      <c r="M856" s="98" t="str">
        <f ca="1">IF(J855&gt;=7,(MID(L856,1,1)&amp;MID(L856,2,3)+1),CELL("address",AD856))</f>
        <v>$AD$856</v>
      </c>
      <c r="N856" s="98" t="str">
        <f ca="1">IF(J855&gt;=8,(MID(M856,1,1)&amp;MID(M856,2,3)+1),CELL("address",AE856))</f>
        <v>$AE$856</v>
      </c>
      <c r="O856" s="98" t="str">
        <f ca="1">IF(J855&gt;=9,(MID(N856,1,1)&amp;MID(N856,2,3)+1),CELL("address",AF856))</f>
        <v>$AF$856</v>
      </c>
      <c r="P856" s="98" t="str">
        <f ca="1">IF(J855&gt;=10,(MID(O856,1,1)&amp;MID(O856,2,3)+1),CELL("address",AG856))</f>
        <v>$AG$856</v>
      </c>
      <c r="Q856" s="98" t="str">
        <f ca="1">IF(J855&gt;=11,(MID(P856,1,1)&amp;MID(P856,2,3)+1),CELL("address",AH856))</f>
        <v>$AH$856</v>
      </c>
      <c r="R856" s="98" t="str">
        <f ca="1">IF(J855&gt;=12,(MID(Q856,1,1)&amp;MID(Q856,2,3)+1),CELL("address",AI856))</f>
        <v>$AI$856</v>
      </c>
    </row>
    <row r="857" spans="1:15" ht="15" customHeight="1">
      <c r="A857" s="306"/>
      <c r="B857" s="306"/>
      <c r="C857" s="308"/>
      <c r="D857" s="40" t="s">
        <v>337</v>
      </c>
      <c r="E857" s="236">
        <v>45</v>
      </c>
      <c r="F857" s="98"/>
      <c r="G857" s="92" t="str">
        <f>CONCATENATE(D857," - ",E857,", ")</f>
        <v>U/S Tubes - 45, </v>
      </c>
      <c r="H857" s="98"/>
      <c r="I857" s="98"/>
      <c r="J857" s="98"/>
      <c r="K857" s="98"/>
      <c r="L857" s="98"/>
      <c r="M857" s="98"/>
      <c r="N857" s="98"/>
      <c r="O857" s="98"/>
    </row>
    <row r="858" spans="1:15" ht="15" customHeight="1">
      <c r="A858" s="304"/>
      <c r="B858" s="307"/>
      <c r="C858" s="254"/>
      <c r="D858" s="223"/>
      <c r="E858" s="177"/>
      <c r="F858" s="98"/>
      <c r="G858" s="98"/>
      <c r="H858" s="98"/>
      <c r="I858" s="98"/>
      <c r="J858" s="98"/>
      <c r="K858" s="98"/>
      <c r="L858" s="98"/>
      <c r="M858" s="98"/>
      <c r="N858" s="98"/>
      <c r="O858" s="98"/>
    </row>
    <row r="859" spans="1:15" ht="15" customHeight="1">
      <c r="A859" s="310"/>
      <c r="B859" s="311"/>
      <c r="C859" s="40"/>
      <c r="D859" s="220"/>
      <c r="E859" s="57">
        <f>SUM(E861:E865)</f>
        <v>5.920000000000001</v>
      </c>
      <c r="F859" s="194"/>
      <c r="G859" s="98"/>
      <c r="H859" s="98"/>
      <c r="I859" s="98"/>
      <c r="J859" s="98"/>
      <c r="K859" s="98"/>
      <c r="L859" s="98"/>
      <c r="M859" s="98"/>
      <c r="N859" s="98"/>
      <c r="O859" s="98"/>
    </row>
    <row r="860" spans="1:18" ht="15" customHeight="1">
      <c r="A860" s="313" t="s">
        <v>5</v>
      </c>
      <c r="B860" s="313"/>
      <c r="C860" s="70" t="s">
        <v>17</v>
      </c>
      <c r="D860" s="209" t="s">
        <v>18</v>
      </c>
      <c r="E860" s="39" t="s">
        <v>7</v>
      </c>
      <c r="F860" s="98"/>
      <c r="G860" s="93" t="str">
        <f>CONCATENATE("Misc. Iron Scrap, Lying at ",C861,". Quantity in MT - ")</f>
        <v>Misc. Iron Scrap, Lying at CS Sangrur. Quantity in MT - </v>
      </c>
      <c r="H860" s="309" t="str">
        <f ca="1">CONCATENATE(G860,G861,(INDIRECT(I861)),(INDIRECT(J861)),(INDIRECT(K861)),(INDIRECT(L861)),(INDIRECT(M861)),(INDIRECT(N861)),(INDIRECT(O861)),(INDIRECT(P861)),(INDIRECT(Q861)),(INDIRECT(R861)),".")</f>
        <v>Misc. Iron Scrap, Lying at CS Sangrur. Quantity in MT - Tubular Poles - 0.155, MS iron scrap - 3.992, MS Rail scrap - 0.33, Transformer body scrap - 1.429, G.I. Scrap - 0.014, .</v>
      </c>
      <c r="I860" s="98" t="str">
        <f aca="true" ca="1" t="array" ref="I860">CELL("address",INDEX(G860:G878,MATCH(TRUE,ISBLANK(G860:G878),0)))</f>
        <v>$G$866</v>
      </c>
      <c r="J860" s="98">
        <f aca="true" t="array" ref="J860">MATCH(TRUE,ISBLANK(G860:G878),0)</f>
        <v>7</v>
      </c>
      <c r="K860" s="98">
        <f>J860-3</f>
        <v>4</v>
      </c>
      <c r="L860" s="98"/>
      <c r="M860" s="98"/>
      <c r="N860" s="98"/>
      <c r="O860" s="98"/>
      <c r="P860" s="98"/>
      <c r="Q860" s="98"/>
      <c r="R860" s="98"/>
    </row>
    <row r="861" spans="1:18" ht="15" customHeight="1">
      <c r="A861" s="306" t="s">
        <v>176</v>
      </c>
      <c r="B861" s="306"/>
      <c r="C861" s="308" t="s">
        <v>79</v>
      </c>
      <c r="D861" s="42" t="s">
        <v>342</v>
      </c>
      <c r="E861" s="69">
        <v>0.155</v>
      </c>
      <c r="F861" s="98"/>
      <c r="G861" s="92" t="str">
        <f>CONCATENATE(D861," - ",E861,", ")</f>
        <v>Tubular Poles - 0.155, </v>
      </c>
      <c r="H861" s="309"/>
      <c r="I861" s="98" t="str">
        <f ca="1">IF(J860&gt;=3,(MID(I860,2,1)&amp;MID(I860,4,3)-K860),CELL("address",Z861))</f>
        <v>G862</v>
      </c>
      <c r="J861" s="98" t="str">
        <f ca="1">IF(J860&gt;=4,(MID(I861,1,1)&amp;MID(I861,2,3)+1),CELL("address",AA861))</f>
        <v>G863</v>
      </c>
      <c r="K861" s="98" t="str">
        <f ca="1">IF(J860&gt;=5,(MID(J861,1,1)&amp;MID(J861,2,3)+1),CELL("address",AB861))</f>
        <v>G864</v>
      </c>
      <c r="L861" s="98" t="str">
        <f ca="1">IF(J860&gt;=6,(MID(K861,1,1)&amp;MID(K861,2,3)+1),CELL("address",AC861))</f>
        <v>G865</v>
      </c>
      <c r="M861" s="98" t="str">
        <f ca="1">IF(J860&gt;=7,(MID(L861,1,1)&amp;MID(L861,2,3)+1),CELL("address",AD861))</f>
        <v>G866</v>
      </c>
      <c r="N861" s="98" t="str">
        <f ca="1">IF(J860&gt;=8,(MID(M861,1,1)&amp;MID(M861,2,3)+1),CELL("address",AE861))</f>
        <v>$AE$861</v>
      </c>
      <c r="O861" s="98" t="str">
        <f ca="1">IF(J860&gt;=9,(MID(N861,1,1)&amp;MID(N861,2,3)+1),CELL("address",AF861))</f>
        <v>$AF$861</v>
      </c>
      <c r="P861" s="98" t="str">
        <f ca="1">IF(J860&gt;=10,(MID(O861,1,1)&amp;MID(O861,2,3)+1),CELL("address",AG861))</f>
        <v>$AG$861</v>
      </c>
      <c r="Q861" s="98" t="str">
        <f ca="1">IF(J860&gt;=11,(MID(P861,1,1)&amp;MID(P861,2,3)+1),CELL("address",AH861))</f>
        <v>$AH$861</v>
      </c>
      <c r="R861" s="98" t="str">
        <f ca="1">IF(J860&gt;=12,(MID(Q861,1,1)&amp;MID(Q861,2,3)+1),CELL("address",AI861))</f>
        <v>$AI$861</v>
      </c>
    </row>
    <row r="862" spans="1:15" ht="15" customHeight="1">
      <c r="A862" s="306"/>
      <c r="B862" s="306"/>
      <c r="C862" s="308"/>
      <c r="D862" s="42" t="s">
        <v>29</v>
      </c>
      <c r="E862" s="58">
        <v>3.992</v>
      </c>
      <c r="F862" s="98"/>
      <c r="G862" s="92" t="str">
        <f>CONCATENATE(D862," - ",E862,", ")</f>
        <v>MS iron scrap - 3.992, </v>
      </c>
      <c r="H862" s="98"/>
      <c r="I862" s="98"/>
      <c r="J862" s="98"/>
      <c r="K862" s="98"/>
      <c r="L862" s="98"/>
      <c r="M862" s="98"/>
      <c r="N862" s="98"/>
      <c r="O862" s="98"/>
    </row>
    <row r="863" spans="1:15" ht="15" customHeight="1">
      <c r="A863" s="306"/>
      <c r="B863" s="306"/>
      <c r="C863" s="308"/>
      <c r="D863" s="42" t="s">
        <v>61</v>
      </c>
      <c r="E863" s="58">
        <v>0.33</v>
      </c>
      <c r="F863" s="98"/>
      <c r="G863" s="92" t="str">
        <f>CONCATENATE(D863," - ",E863,", ")</f>
        <v>MS Rail scrap - 0.33, </v>
      </c>
      <c r="H863" s="98"/>
      <c r="I863" s="98" t="e">
        <f ca="1">IF(G862&gt;=6,(MID(H863,1,1)&amp;MID(H863,2,3)+1),CELL("address",Z863))</f>
        <v>#VALUE!</v>
      </c>
      <c r="J863" s="98" t="e">
        <f ca="1">IF(G862&gt;=7,(MID(I863,1,1)&amp;MID(I863,2,3)+1),CELL("address",AA863))</f>
        <v>#VALUE!</v>
      </c>
      <c r="K863" s="98" t="e">
        <f ca="1">IF(G862&gt;=8,(MID(J863,1,1)&amp;MID(J863,2,3)+1),CELL("address",AB863))</f>
        <v>#VALUE!</v>
      </c>
      <c r="L863" s="98" t="e">
        <f ca="1">IF(G862&gt;=9,(MID(K863,1,1)&amp;MID(K863,2,3)+1),CELL("address",AC863))</f>
        <v>#VALUE!</v>
      </c>
      <c r="M863" s="98" t="e">
        <f ca="1">IF(G862&gt;=10,(MID(L863,1,1)&amp;MID(L863,2,3)+1),CELL("address",AD863))</f>
        <v>#VALUE!</v>
      </c>
      <c r="N863" s="98" t="e">
        <f ca="1">IF(G862&gt;=11,(MID(M863,1,1)&amp;MID(M863,2,3)+1),CELL("address",AE863))</f>
        <v>#VALUE!</v>
      </c>
      <c r="O863" s="98" t="e">
        <f ca="1">IF(G862&gt;=12,(MID(N863,1,1)&amp;MID(N863,2,3)+1),CELL("address",AF863))</f>
        <v>#VALUE!</v>
      </c>
    </row>
    <row r="864" spans="1:15" ht="15" customHeight="1">
      <c r="A864" s="306"/>
      <c r="B864" s="306"/>
      <c r="C864" s="308"/>
      <c r="D864" s="81" t="s">
        <v>60</v>
      </c>
      <c r="E864" s="58">
        <v>1.429</v>
      </c>
      <c r="F864" s="98"/>
      <c r="G864" s="92" t="str">
        <f>CONCATENATE(D864," - ",E864,", ")</f>
        <v>Transformer body scrap - 1.429, </v>
      </c>
      <c r="H864" s="98"/>
      <c r="I864" s="98"/>
      <c r="J864" s="98"/>
      <c r="K864" s="98"/>
      <c r="L864" s="98"/>
      <c r="M864" s="98"/>
      <c r="N864" s="98"/>
      <c r="O864" s="98"/>
    </row>
    <row r="865" spans="1:15" ht="15" customHeight="1">
      <c r="A865" s="306"/>
      <c r="B865" s="306"/>
      <c r="C865" s="308"/>
      <c r="D865" s="81" t="s">
        <v>197</v>
      </c>
      <c r="E865" s="58">
        <v>0.014</v>
      </c>
      <c r="F865" s="98"/>
      <c r="G865" s="92" t="str">
        <f>CONCATENATE(D865," - ",E865,", ")</f>
        <v>G.I. Scrap - 0.014, </v>
      </c>
      <c r="H865" s="98"/>
      <c r="I865" s="98"/>
      <c r="J865" s="98"/>
      <c r="K865" s="98"/>
      <c r="L865" s="98"/>
      <c r="M865" s="98"/>
      <c r="N865" s="98"/>
      <c r="O865" s="98"/>
    </row>
    <row r="866" spans="1:15" ht="15" customHeight="1">
      <c r="A866" s="39"/>
      <c r="B866" s="41"/>
      <c r="C866" s="48"/>
      <c r="D866" s="217"/>
      <c r="E866" s="177"/>
      <c r="F866" s="98"/>
      <c r="G866" s="98"/>
      <c r="H866" s="98"/>
      <c r="I866" s="98"/>
      <c r="J866" s="98"/>
      <c r="K866" s="98"/>
      <c r="L866" s="98"/>
      <c r="M866" s="98"/>
      <c r="N866" s="98"/>
      <c r="O866" s="98"/>
    </row>
    <row r="867" spans="1:15" ht="15" customHeight="1">
      <c r="A867" s="53"/>
      <c r="B867" s="54"/>
      <c r="C867" s="54"/>
      <c r="D867" s="56"/>
      <c r="E867" s="57">
        <f>SUM(E869:E871)</f>
        <v>3.731</v>
      </c>
      <c r="F867" s="98"/>
      <c r="G867" s="98"/>
      <c r="H867" s="98"/>
      <c r="I867" s="98"/>
      <c r="J867" s="98"/>
      <c r="K867" s="98"/>
      <c r="L867" s="98"/>
      <c r="M867" s="98"/>
      <c r="N867" s="98"/>
      <c r="O867" s="98"/>
    </row>
    <row r="868" spans="1:18" ht="15" customHeight="1">
      <c r="A868" s="313" t="s">
        <v>5</v>
      </c>
      <c r="B868" s="313"/>
      <c r="C868" s="70" t="s">
        <v>17</v>
      </c>
      <c r="D868" s="209" t="s">
        <v>18</v>
      </c>
      <c r="E868" s="39" t="s">
        <v>7</v>
      </c>
      <c r="F868" s="98"/>
      <c r="G868" s="93" t="str">
        <f>CONCATENATE("Misc. Iron Scrap, Lying at ",C869,". Quantity in MT - ")</f>
        <v>Misc. Iron Scrap, Lying at OL Barnala. Quantity in MT - </v>
      </c>
      <c r="H868" s="309" t="str">
        <f ca="1">CONCATENATE(G868,G869,(INDIRECT(I869)),(INDIRECT(J869)),(INDIRECT(K869)),(INDIRECT(L869)),(INDIRECT(M869)),(INDIRECT(N869)),(INDIRECT(O869)),(INDIRECT(P869)),(INDIRECT(Q869)),(INDIRECT(R869)),".")</f>
        <v>Misc. Iron Scrap, Lying at OL Barnala. Quantity in MT - Tubular Poles - 0.282, MS iron scrap - 2.862, Transformer body scrap - 0.587, .</v>
      </c>
      <c r="I868" s="98" t="str">
        <f aca="true" ca="1" t="array" ref="I868">CELL("address",INDEX(G868:G886,MATCH(TRUE,ISBLANK(G868:G886),0)))</f>
        <v>$G$872</v>
      </c>
      <c r="J868" s="98">
        <f aca="true" t="array" ref="J868">MATCH(TRUE,ISBLANK(G868:G886),0)</f>
        <v>5</v>
      </c>
      <c r="K868" s="98">
        <f>J868-3</f>
        <v>2</v>
      </c>
      <c r="L868" s="98"/>
      <c r="M868" s="98"/>
      <c r="N868" s="98"/>
      <c r="O868" s="98"/>
      <c r="P868" s="98"/>
      <c r="Q868" s="98"/>
      <c r="R868" s="98"/>
    </row>
    <row r="869" spans="1:18" ht="15" customHeight="1">
      <c r="A869" s="306" t="s">
        <v>177</v>
      </c>
      <c r="B869" s="306"/>
      <c r="C869" s="308" t="s">
        <v>189</v>
      </c>
      <c r="D869" s="42" t="s">
        <v>342</v>
      </c>
      <c r="E869" s="69">
        <v>0.282</v>
      </c>
      <c r="F869" s="98"/>
      <c r="G869" s="92" t="str">
        <f>CONCATENATE(D869," - ",E869,", ")</f>
        <v>Tubular Poles - 0.282, </v>
      </c>
      <c r="H869" s="309"/>
      <c r="I869" s="98" t="str">
        <f ca="1">IF(J868&gt;=3,(MID(I868,2,1)&amp;MID(I868,4,3)-K868),CELL("address",Z869))</f>
        <v>G870</v>
      </c>
      <c r="J869" s="98" t="str">
        <f ca="1">IF(J868&gt;=4,(MID(I869,1,1)&amp;MID(I869,2,3)+1),CELL("address",AA869))</f>
        <v>G871</v>
      </c>
      <c r="K869" s="98" t="str">
        <f ca="1">IF(J868&gt;=5,(MID(J869,1,1)&amp;MID(J869,2,3)+1),CELL("address",AB869))</f>
        <v>G872</v>
      </c>
      <c r="L869" s="98" t="str">
        <f ca="1">IF(J868&gt;=6,(MID(K869,1,1)&amp;MID(K869,2,3)+1),CELL("address",AC869))</f>
        <v>$AC$869</v>
      </c>
      <c r="M869" s="98" t="str">
        <f ca="1">IF(J868&gt;=7,(MID(L869,1,1)&amp;MID(L869,2,3)+1),CELL("address",AD869))</f>
        <v>$AD$869</v>
      </c>
      <c r="N869" s="98" t="str">
        <f ca="1">IF(J868&gt;=8,(MID(M869,1,1)&amp;MID(M869,2,3)+1),CELL("address",AE869))</f>
        <v>$AE$869</v>
      </c>
      <c r="O869" s="98" t="str">
        <f ca="1">IF(J868&gt;=9,(MID(N869,1,1)&amp;MID(N869,2,3)+1),CELL("address",AF869))</f>
        <v>$AF$869</v>
      </c>
      <c r="P869" s="98" t="str">
        <f ca="1">IF(J868&gt;=10,(MID(O869,1,1)&amp;MID(O869,2,3)+1),CELL("address",AG869))</f>
        <v>$AG$869</v>
      </c>
      <c r="Q869" s="98" t="str">
        <f ca="1">IF(J868&gt;=11,(MID(P869,1,1)&amp;MID(P869,2,3)+1),CELL("address",AH869))</f>
        <v>$AH$869</v>
      </c>
      <c r="R869" s="98" t="str">
        <f ca="1">IF(J868&gt;=12,(MID(Q869,1,1)&amp;MID(Q869,2,3)+1),CELL("address",AI869))</f>
        <v>$AI$869</v>
      </c>
    </row>
    <row r="870" spans="1:15" ht="15" customHeight="1">
      <c r="A870" s="306"/>
      <c r="B870" s="306"/>
      <c r="C870" s="308"/>
      <c r="D870" s="42" t="s">
        <v>29</v>
      </c>
      <c r="E870" s="58">
        <v>2.862</v>
      </c>
      <c r="F870" s="98"/>
      <c r="G870" s="92" t="str">
        <f>CONCATENATE(D870," - ",E870,", ")</f>
        <v>MS iron scrap - 2.862, </v>
      </c>
      <c r="H870" s="98"/>
      <c r="I870" s="98"/>
      <c r="J870" s="98"/>
      <c r="K870" s="98"/>
      <c r="L870" s="98"/>
      <c r="M870" s="98"/>
      <c r="N870" s="98"/>
      <c r="O870" s="98"/>
    </row>
    <row r="871" spans="1:15" ht="15" customHeight="1">
      <c r="A871" s="306"/>
      <c r="B871" s="306"/>
      <c r="C871" s="308"/>
      <c r="D871" s="81" t="s">
        <v>60</v>
      </c>
      <c r="E871" s="58">
        <v>0.587</v>
      </c>
      <c r="F871" s="98"/>
      <c r="G871" s="92" t="str">
        <f>CONCATENATE(D871," - ",E871,", ")</f>
        <v>Transformer body scrap - 0.587, </v>
      </c>
      <c r="H871" s="98"/>
      <c r="I871" s="98"/>
      <c r="J871" s="98"/>
      <c r="K871" s="98"/>
      <c r="L871" s="98"/>
      <c r="M871" s="98"/>
      <c r="N871" s="98"/>
      <c r="O871" s="98"/>
    </row>
    <row r="872" spans="1:15" ht="15" customHeight="1">
      <c r="A872" s="39"/>
      <c r="B872" s="41"/>
      <c r="C872" s="48"/>
      <c r="D872" s="217"/>
      <c r="E872" s="177"/>
      <c r="F872" s="98"/>
      <c r="G872" s="98"/>
      <c r="H872" s="98"/>
      <c r="I872" s="98"/>
      <c r="J872" s="98"/>
      <c r="K872" s="98"/>
      <c r="L872" s="98"/>
      <c r="M872" s="98"/>
      <c r="N872" s="98"/>
      <c r="O872" s="98"/>
    </row>
    <row r="873" spans="1:15" ht="15" customHeight="1">
      <c r="A873" s="53"/>
      <c r="B873" s="54"/>
      <c r="C873" s="54"/>
      <c r="D873" s="56"/>
      <c r="E873" s="57">
        <f>SUM(E875:E879)</f>
        <v>5.339</v>
      </c>
      <c r="F873" s="98"/>
      <c r="G873" s="98"/>
      <c r="H873" s="98"/>
      <c r="I873" s="98"/>
      <c r="J873" s="98"/>
      <c r="K873" s="98"/>
      <c r="L873" s="98"/>
      <c r="M873" s="98"/>
      <c r="N873" s="98"/>
      <c r="O873" s="98"/>
    </row>
    <row r="874" spans="1:18" ht="15" customHeight="1">
      <c r="A874" s="313" t="s">
        <v>5</v>
      </c>
      <c r="B874" s="313"/>
      <c r="C874" s="70" t="s">
        <v>17</v>
      </c>
      <c r="D874" s="209" t="s">
        <v>18</v>
      </c>
      <c r="E874" s="39" t="s">
        <v>7</v>
      </c>
      <c r="F874" s="98"/>
      <c r="G874" s="93" t="str">
        <f>CONCATENATE("Misc. Iron Scrap, Lying at ",C875,". Quantity in MT - ")</f>
        <v>Misc. Iron Scrap, Lying at CS Mohali. Quantity in MT - </v>
      </c>
      <c r="H874" s="309" t="str">
        <f ca="1">CONCATENATE(G874,G875,(INDIRECT(I875)),(INDIRECT(J875)),(INDIRECT(K875)),(INDIRECT(L875)),(INDIRECT(M875)),(INDIRECT(N875)),(INDIRECT(O875)),(INDIRECT(P875)),(INDIRECT(Q875)),(INDIRECT(R875)),".")</f>
        <v>Misc. Iron Scrap, Lying at CS Mohali. Quantity in MT - Piller box scrap - 0.095, MS iron scrap - 3.052, MS Rail scrap - 0.18, Transformer body scrap - 1.852, G.I. Scrap - 0.16, .</v>
      </c>
      <c r="I874" s="98" t="str">
        <f aca="true" ca="1" t="array" ref="I874">CELL("address",INDEX(G874:G892,MATCH(TRUE,ISBLANK(G874:G892),0)))</f>
        <v>$G$880</v>
      </c>
      <c r="J874" s="98">
        <f aca="true" t="array" ref="J874">MATCH(TRUE,ISBLANK(G874:G892),0)</f>
        <v>7</v>
      </c>
      <c r="K874" s="98">
        <f>J874-3</f>
        <v>4</v>
      </c>
      <c r="L874" s="98"/>
      <c r="M874" s="98"/>
      <c r="N874" s="98"/>
      <c r="O874" s="98"/>
      <c r="P874" s="98"/>
      <c r="Q874" s="98"/>
      <c r="R874" s="98"/>
    </row>
    <row r="875" spans="1:18" ht="15" customHeight="1">
      <c r="A875" s="306" t="s">
        <v>307</v>
      </c>
      <c r="B875" s="306"/>
      <c r="C875" s="308" t="s">
        <v>62</v>
      </c>
      <c r="D875" s="42" t="s">
        <v>347</v>
      </c>
      <c r="E875" s="69">
        <v>0.095</v>
      </c>
      <c r="F875" s="98"/>
      <c r="G875" s="92" t="str">
        <f>CONCATENATE(D875," - ",E875,", ")</f>
        <v>Piller box scrap - 0.095, </v>
      </c>
      <c r="H875" s="309"/>
      <c r="I875" s="98" t="str">
        <f ca="1">IF(J874&gt;=3,(MID(I874,2,1)&amp;MID(I874,4,3)-K874),CELL("address",Z875))</f>
        <v>G876</v>
      </c>
      <c r="J875" s="98" t="str">
        <f ca="1">IF(J874&gt;=4,(MID(I875,1,1)&amp;MID(I875,2,3)+1),CELL("address",AA875))</f>
        <v>G877</v>
      </c>
      <c r="K875" s="98" t="str">
        <f ca="1">IF(J874&gt;=5,(MID(J875,1,1)&amp;MID(J875,2,3)+1),CELL("address",AB875))</f>
        <v>G878</v>
      </c>
      <c r="L875" s="98" t="str">
        <f ca="1">IF(J874&gt;=6,(MID(K875,1,1)&amp;MID(K875,2,3)+1),CELL("address",AC875))</f>
        <v>G879</v>
      </c>
      <c r="M875" s="98" t="str">
        <f ca="1">IF(J874&gt;=7,(MID(L875,1,1)&amp;MID(L875,2,3)+1),CELL("address",AD875))</f>
        <v>G880</v>
      </c>
      <c r="N875" s="98" t="str">
        <f ca="1">IF(J874&gt;=8,(MID(M875,1,1)&amp;MID(M875,2,3)+1),CELL("address",AE875))</f>
        <v>$AE$875</v>
      </c>
      <c r="O875" s="98" t="str">
        <f ca="1">IF(J874&gt;=9,(MID(N875,1,1)&amp;MID(N875,2,3)+1),CELL("address",AF875))</f>
        <v>$AF$875</v>
      </c>
      <c r="P875" s="98" t="str">
        <f ca="1">IF(J874&gt;=10,(MID(O875,1,1)&amp;MID(O875,2,3)+1),CELL("address",AG875))</f>
        <v>$AG$875</v>
      </c>
      <c r="Q875" s="98" t="str">
        <f ca="1">IF(J874&gt;=11,(MID(P875,1,1)&amp;MID(P875,2,3)+1),CELL("address",AH875))</f>
        <v>$AH$875</v>
      </c>
      <c r="R875" s="98" t="str">
        <f ca="1">IF(J874&gt;=12,(MID(Q875,1,1)&amp;MID(Q875,2,3)+1),CELL("address",AI875))</f>
        <v>$AI$875</v>
      </c>
    </row>
    <row r="876" spans="1:15" ht="15" customHeight="1">
      <c r="A876" s="306"/>
      <c r="B876" s="306"/>
      <c r="C876" s="308"/>
      <c r="D876" s="42" t="s">
        <v>29</v>
      </c>
      <c r="E876" s="58">
        <v>3.052</v>
      </c>
      <c r="F876" s="193"/>
      <c r="G876" s="92" t="str">
        <f>CONCATENATE(D876," - ",E876,", ")</f>
        <v>MS iron scrap - 3.052, </v>
      </c>
      <c r="H876" s="98"/>
      <c r="I876" s="98"/>
      <c r="J876" s="98"/>
      <c r="K876" s="98"/>
      <c r="L876" s="98"/>
      <c r="M876" s="98"/>
      <c r="N876" s="98"/>
      <c r="O876" s="98"/>
    </row>
    <row r="877" spans="1:15" ht="15" customHeight="1">
      <c r="A877" s="306"/>
      <c r="B877" s="306"/>
      <c r="C877" s="308"/>
      <c r="D877" s="42" t="s">
        <v>61</v>
      </c>
      <c r="E877" s="58">
        <v>0.18</v>
      </c>
      <c r="F877" s="193"/>
      <c r="G877" s="92" t="str">
        <f>CONCATENATE(D877," - ",E877,", ")</f>
        <v>MS Rail scrap - 0.18, </v>
      </c>
      <c r="H877" s="98"/>
      <c r="I877" s="98" t="e">
        <f ca="1">IF(G876&gt;=6,(MID(H877,1,1)&amp;MID(H877,2,3)+1),CELL("address",Z877))</f>
        <v>#VALUE!</v>
      </c>
      <c r="J877" s="98" t="e">
        <f ca="1">IF(G876&gt;=7,(MID(I877,1,1)&amp;MID(I877,2,3)+1),CELL("address",AA877))</f>
        <v>#VALUE!</v>
      </c>
      <c r="K877" s="98" t="e">
        <f ca="1">IF(G876&gt;=8,(MID(J877,1,1)&amp;MID(J877,2,3)+1),CELL("address",AB877))</f>
        <v>#VALUE!</v>
      </c>
      <c r="L877" s="98" t="e">
        <f ca="1">IF(G876&gt;=9,(MID(K877,1,1)&amp;MID(K877,2,3)+1),CELL("address",AC877))</f>
        <v>#VALUE!</v>
      </c>
      <c r="M877" s="98" t="e">
        <f ca="1">IF(G876&gt;=10,(MID(L877,1,1)&amp;MID(L877,2,3)+1),CELL("address",AD877))</f>
        <v>#VALUE!</v>
      </c>
      <c r="N877" s="98" t="e">
        <f ca="1">IF(G876&gt;=11,(MID(M877,1,1)&amp;MID(M877,2,3)+1),CELL("address",AE877))</f>
        <v>#VALUE!</v>
      </c>
      <c r="O877" s="98" t="e">
        <f ca="1">IF(G876&gt;=12,(MID(N877,1,1)&amp;MID(N877,2,3)+1),CELL("address",AF877))</f>
        <v>#VALUE!</v>
      </c>
    </row>
    <row r="878" spans="1:15" ht="15" customHeight="1">
      <c r="A878" s="306"/>
      <c r="B878" s="306"/>
      <c r="C878" s="308"/>
      <c r="D878" s="81" t="s">
        <v>60</v>
      </c>
      <c r="E878" s="58">
        <v>1.852</v>
      </c>
      <c r="F878" s="193"/>
      <c r="G878" s="92" t="str">
        <f>CONCATENATE(D878," - ",E878,", ")</f>
        <v>Transformer body scrap - 1.852, </v>
      </c>
      <c r="H878" s="98"/>
      <c r="I878" s="98"/>
      <c r="J878" s="98"/>
      <c r="K878" s="98"/>
      <c r="L878" s="98"/>
      <c r="M878" s="98"/>
      <c r="N878" s="98"/>
      <c r="O878" s="98"/>
    </row>
    <row r="879" spans="1:15" ht="15" customHeight="1">
      <c r="A879" s="306"/>
      <c r="B879" s="306"/>
      <c r="C879" s="308"/>
      <c r="D879" s="81" t="s">
        <v>197</v>
      </c>
      <c r="E879" s="58">
        <v>0.16</v>
      </c>
      <c r="F879" s="193"/>
      <c r="G879" s="92" t="str">
        <f>CONCATENATE(D879," - ",E879,", ")</f>
        <v>G.I. Scrap - 0.16, </v>
      </c>
      <c r="H879" s="98"/>
      <c r="I879" s="98"/>
      <c r="J879" s="98"/>
      <c r="K879" s="98"/>
      <c r="L879" s="98"/>
      <c r="M879" s="98"/>
      <c r="N879" s="98"/>
      <c r="O879" s="98"/>
    </row>
    <row r="880" spans="1:15" ht="15" customHeight="1">
      <c r="A880" s="39"/>
      <c r="B880" s="41"/>
      <c r="C880" s="48"/>
      <c r="D880" s="41"/>
      <c r="E880" s="58"/>
      <c r="F880" s="98"/>
      <c r="G880" s="98"/>
      <c r="H880" s="98"/>
      <c r="I880" s="98"/>
      <c r="J880" s="98"/>
      <c r="K880" s="98"/>
      <c r="L880" s="98"/>
      <c r="M880" s="98"/>
      <c r="N880" s="98"/>
      <c r="O880" s="98"/>
    </row>
    <row r="881" spans="1:15" ht="15" customHeight="1">
      <c r="A881" s="53"/>
      <c r="B881" s="54"/>
      <c r="C881" s="54"/>
      <c r="D881" s="56"/>
      <c r="E881" s="57">
        <f>SUM(E883:E892)</f>
        <v>15.242000000000003</v>
      </c>
      <c r="F881" s="98"/>
      <c r="G881" s="98"/>
      <c r="H881" s="98"/>
      <c r="I881" s="98"/>
      <c r="J881" s="98"/>
      <c r="K881" s="98"/>
      <c r="L881" s="98"/>
      <c r="M881" s="98"/>
      <c r="N881" s="98"/>
      <c r="O881" s="98"/>
    </row>
    <row r="882" spans="1:18" ht="15" customHeight="1">
      <c r="A882" s="313" t="s">
        <v>5</v>
      </c>
      <c r="B882" s="313"/>
      <c r="C882" s="70" t="s">
        <v>17</v>
      </c>
      <c r="D882" s="209" t="s">
        <v>18</v>
      </c>
      <c r="E882" s="39" t="s">
        <v>7</v>
      </c>
      <c r="F882" s="98"/>
      <c r="G882" s="93" t="str">
        <f>CONCATENATE("Misc. Iron Scrap, Lying at ",C883,". Quantity in MT - ")</f>
        <v>Misc. Iron Scrap, Lying at CS Patiala. Quantity in MT - </v>
      </c>
      <c r="H882" s="309" t="str">
        <f ca="1">CONCATENATE(G882,G883,(INDIRECT(I883)),(INDIRECT(J883)),(INDIRECT(K883)),(INDIRECT(L883)),(INDIRECT(M883)),(INDIRECT(N883)),(INDIRECT(O883)),(INDIRECT(P883)),(INDIRECT(Q883)),(INDIRECT(R883)),".")</f>
        <v>Misc. Iron Scrap, Lying at CS Patiala. Quantity in MT - Iron scrap of Bush fixings - 0.93, MS iron scrap - 7.53, MS Rail scrap - 2.717, M.S. Girder Scrap - 0.428, MS Nuts &amp; bolts scrap - 0.345, Cast Iron Scrap - 0.078, Transformer body scrap - 1.879, Teen Patra scrap - 1.09, G.I. scrap - 0.226, G.I. Wire/GSL scrap - 0.019, .</v>
      </c>
      <c r="I882" s="98" t="str">
        <f aca="true" ca="1" t="array" ref="I882">CELL("address",INDEX(G882:G900,MATCH(TRUE,ISBLANK(G882:G900),0)))</f>
        <v>$G$893</v>
      </c>
      <c r="J882" s="98">
        <f aca="true" t="array" ref="J882">MATCH(TRUE,ISBLANK(G882:G900),0)</f>
        <v>12</v>
      </c>
      <c r="K882" s="98">
        <f>J882-3</f>
        <v>9</v>
      </c>
      <c r="L882" s="98"/>
      <c r="M882" s="98"/>
      <c r="N882" s="98"/>
      <c r="O882" s="98"/>
      <c r="P882" s="98"/>
      <c r="Q882" s="98"/>
      <c r="R882" s="98"/>
    </row>
    <row r="883" spans="1:18" ht="15" customHeight="1">
      <c r="A883" s="306" t="s">
        <v>343</v>
      </c>
      <c r="B883" s="306"/>
      <c r="C883" s="308" t="s">
        <v>52</v>
      </c>
      <c r="D883" s="42" t="s">
        <v>348</v>
      </c>
      <c r="E883" s="69">
        <v>0.93</v>
      </c>
      <c r="F883" s="98"/>
      <c r="G883" s="92" t="str">
        <f aca="true" t="shared" si="5" ref="G883:G892">CONCATENATE(D883," - ",E883,", ")</f>
        <v>Iron scrap of Bush fixings - 0.93, </v>
      </c>
      <c r="H883" s="309"/>
      <c r="I883" s="98" t="str">
        <f ca="1">IF(J882&gt;=3,(MID(I882,2,1)&amp;MID(I882,4,3)-K882),CELL("address",Z883))</f>
        <v>G884</v>
      </c>
      <c r="J883" s="98" t="str">
        <f ca="1">IF(J882&gt;=4,(MID(I883,1,1)&amp;MID(I883,2,3)+1),CELL("address",AA883))</f>
        <v>G885</v>
      </c>
      <c r="K883" s="98" t="str">
        <f ca="1">IF(J882&gt;=5,(MID(J883,1,1)&amp;MID(J883,2,3)+1),CELL("address",AB883))</f>
        <v>G886</v>
      </c>
      <c r="L883" s="98" t="str">
        <f ca="1">IF(J882&gt;=6,(MID(K883,1,1)&amp;MID(K883,2,3)+1),CELL("address",AC883))</f>
        <v>G887</v>
      </c>
      <c r="M883" s="98" t="str">
        <f ca="1">IF(J882&gt;=7,(MID(L883,1,1)&amp;MID(L883,2,3)+1),CELL("address",AD883))</f>
        <v>G888</v>
      </c>
      <c r="N883" s="98" t="str">
        <f ca="1">IF(J882&gt;=8,(MID(M883,1,1)&amp;MID(M883,2,3)+1),CELL("address",AE883))</f>
        <v>G889</v>
      </c>
      <c r="O883" s="98" t="str">
        <f ca="1">IF(J882&gt;=9,(MID(N883,1,1)&amp;MID(N883,2,3)+1),CELL("address",AF883))</f>
        <v>G890</v>
      </c>
      <c r="P883" s="98" t="str">
        <f ca="1">IF(J882&gt;=10,(MID(O883,1,1)&amp;MID(O883,2,3)+1),CELL("address",AG883))</f>
        <v>G891</v>
      </c>
      <c r="Q883" s="98" t="str">
        <f ca="1">IF(J882&gt;=11,(MID(P883,1,1)&amp;MID(P883,2,3)+1),CELL("address",AH883))</f>
        <v>G892</v>
      </c>
      <c r="R883" s="98" t="str">
        <f ca="1">IF(J882&gt;=12,(MID(Q883,1,1)&amp;MID(Q883,2,3)+1),CELL("address",AI883))</f>
        <v>G893</v>
      </c>
    </row>
    <row r="884" spans="1:15" ht="15" customHeight="1">
      <c r="A884" s="306"/>
      <c r="B884" s="306"/>
      <c r="C884" s="308"/>
      <c r="D884" s="42" t="s">
        <v>29</v>
      </c>
      <c r="E884" s="58">
        <v>7.53</v>
      </c>
      <c r="F884" s="193"/>
      <c r="G884" s="92" t="str">
        <f t="shared" si="5"/>
        <v>MS iron scrap - 7.53, </v>
      </c>
      <c r="H884" s="98"/>
      <c r="I884" s="98"/>
      <c r="J884" s="98"/>
      <c r="K884" s="98"/>
      <c r="L884" s="98"/>
      <c r="M884" s="98"/>
      <c r="N884" s="98"/>
      <c r="O884" s="98"/>
    </row>
    <row r="885" spans="1:15" ht="15" customHeight="1">
      <c r="A885" s="306"/>
      <c r="B885" s="306"/>
      <c r="C885" s="308"/>
      <c r="D885" s="42" t="s">
        <v>61</v>
      </c>
      <c r="E885" s="58">
        <v>2.717</v>
      </c>
      <c r="F885" s="193"/>
      <c r="G885" s="92" t="str">
        <f t="shared" si="5"/>
        <v>MS Rail scrap - 2.717, </v>
      </c>
      <c r="H885" s="98"/>
      <c r="I885" s="98"/>
      <c r="J885" s="98"/>
      <c r="K885" s="98"/>
      <c r="L885" s="98"/>
      <c r="M885" s="98"/>
      <c r="N885" s="98"/>
      <c r="O885" s="98"/>
    </row>
    <row r="886" spans="1:15" ht="15" customHeight="1">
      <c r="A886" s="306"/>
      <c r="B886" s="306"/>
      <c r="C886" s="308"/>
      <c r="D886" s="81" t="s">
        <v>440</v>
      </c>
      <c r="E886" s="58">
        <v>0.428</v>
      </c>
      <c r="F886" s="193"/>
      <c r="G886" s="92" t="str">
        <f t="shared" si="5"/>
        <v>M.S. Girder Scrap - 0.428, </v>
      </c>
      <c r="H886" s="98"/>
      <c r="I886" s="98"/>
      <c r="J886" s="98"/>
      <c r="K886" s="98"/>
      <c r="L886" s="98"/>
      <c r="M886" s="98"/>
      <c r="N886" s="98"/>
      <c r="O886" s="98"/>
    </row>
    <row r="887" spans="1:15" ht="15" customHeight="1">
      <c r="A887" s="306"/>
      <c r="B887" s="306"/>
      <c r="C887" s="308"/>
      <c r="D887" s="81" t="s">
        <v>441</v>
      </c>
      <c r="E887" s="58">
        <v>0.345</v>
      </c>
      <c r="F887" s="193"/>
      <c r="G887" s="92" t="str">
        <f t="shared" si="5"/>
        <v>MS Nuts &amp; bolts scrap - 0.345, </v>
      </c>
      <c r="H887" s="98"/>
      <c r="I887" s="98"/>
      <c r="J887" s="98"/>
      <c r="K887" s="98"/>
      <c r="L887" s="98"/>
      <c r="M887" s="98"/>
      <c r="N887" s="98"/>
      <c r="O887" s="98"/>
    </row>
    <row r="888" spans="1:15" ht="15" customHeight="1">
      <c r="A888" s="306"/>
      <c r="B888" s="306"/>
      <c r="C888" s="308"/>
      <c r="D888" s="81" t="s">
        <v>442</v>
      </c>
      <c r="E888" s="58">
        <v>0.078</v>
      </c>
      <c r="F888" s="193"/>
      <c r="G888" s="92" t="str">
        <f t="shared" si="5"/>
        <v>Cast Iron Scrap - 0.078, </v>
      </c>
      <c r="H888" s="98"/>
      <c r="I888" s="98"/>
      <c r="J888" s="98"/>
      <c r="K888" s="98"/>
      <c r="L888" s="98"/>
      <c r="M888" s="98"/>
      <c r="N888" s="98"/>
      <c r="O888" s="98"/>
    </row>
    <row r="889" spans="1:15" ht="15" customHeight="1">
      <c r="A889" s="306"/>
      <c r="B889" s="306"/>
      <c r="C889" s="308"/>
      <c r="D889" s="81" t="s">
        <v>60</v>
      </c>
      <c r="E889" s="58">
        <v>1.879</v>
      </c>
      <c r="F889" s="193"/>
      <c r="G889" s="92" t="str">
        <f t="shared" si="5"/>
        <v>Transformer body scrap - 1.879, </v>
      </c>
      <c r="H889" s="98"/>
      <c r="I889" s="98"/>
      <c r="J889" s="98"/>
      <c r="K889" s="98"/>
      <c r="L889" s="98"/>
      <c r="M889" s="98"/>
      <c r="N889" s="98"/>
      <c r="O889" s="98"/>
    </row>
    <row r="890" spans="1:15" ht="15" customHeight="1">
      <c r="A890" s="306"/>
      <c r="B890" s="306"/>
      <c r="C890" s="308"/>
      <c r="D890" s="81" t="s">
        <v>64</v>
      </c>
      <c r="E890" s="58">
        <v>1.09</v>
      </c>
      <c r="F890" s="193"/>
      <c r="G890" s="92" t="str">
        <f t="shared" si="5"/>
        <v>Teen Patra scrap - 1.09, </v>
      </c>
      <c r="H890" s="98"/>
      <c r="I890" s="98" t="e">
        <f ca="1">IF(G889&gt;=6,(MID(H890,1,1)&amp;MID(H890,2,3)+1),CELL("address",Z890))</f>
        <v>#VALUE!</v>
      </c>
      <c r="J890" s="98" t="e">
        <f ca="1">IF(G889&gt;=7,(MID(I890,1,1)&amp;MID(I890,2,3)+1),CELL("address",AA890))</f>
        <v>#VALUE!</v>
      </c>
      <c r="K890" s="98" t="e">
        <f ca="1">IF(G889&gt;=8,(MID(J890,1,1)&amp;MID(J890,2,3)+1),CELL("address",AB890))</f>
        <v>#VALUE!</v>
      </c>
      <c r="L890" s="98" t="e">
        <f ca="1">IF(G889&gt;=9,(MID(K890,1,1)&amp;MID(K890,2,3)+1),CELL("address",AC890))</f>
        <v>#VALUE!</v>
      </c>
      <c r="M890" s="98" t="e">
        <f ca="1">IF(G889&gt;=10,(MID(L890,1,1)&amp;MID(L890,2,3)+1),CELL("address",AD890))</f>
        <v>#VALUE!</v>
      </c>
      <c r="N890" s="98" t="e">
        <f ca="1">IF(G889&gt;=11,(MID(M890,1,1)&amp;MID(M890,2,3)+1),CELL("address",AE890))</f>
        <v>#VALUE!</v>
      </c>
      <c r="O890" s="98" t="e">
        <f ca="1">IF(G889&gt;=12,(MID(N890,1,1)&amp;MID(N890,2,3)+1),CELL("address",AF890))</f>
        <v>#VALUE!</v>
      </c>
    </row>
    <row r="891" spans="1:15" ht="15" customHeight="1">
      <c r="A891" s="306"/>
      <c r="B891" s="306"/>
      <c r="C891" s="308"/>
      <c r="D891" s="81" t="s">
        <v>192</v>
      </c>
      <c r="E891" s="58">
        <v>0.226</v>
      </c>
      <c r="F891" s="193"/>
      <c r="G891" s="92" t="str">
        <f t="shared" si="5"/>
        <v>G.I. scrap - 0.226, </v>
      </c>
      <c r="H891" s="98"/>
      <c r="I891" s="98"/>
      <c r="J891" s="98"/>
      <c r="K891" s="98"/>
      <c r="L891" s="98"/>
      <c r="M891" s="98"/>
      <c r="N891" s="98"/>
      <c r="O891" s="98"/>
    </row>
    <row r="892" spans="1:15" ht="15" customHeight="1">
      <c r="A892" s="306"/>
      <c r="B892" s="306"/>
      <c r="C892" s="308"/>
      <c r="D892" s="81" t="s">
        <v>397</v>
      </c>
      <c r="E892" s="58">
        <v>0.019</v>
      </c>
      <c r="F892" s="193"/>
      <c r="G892" s="92" t="str">
        <f t="shared" si="5"/>
        <v>G.I. Wire/GSL scrap - 0.019, </v>
      </c>
      <c r="H892" s="98"/>
      <c r="I892" s="98"/>
      <c r="J892" s="98"/>
      <c r="K892" s="98"/>
      <c r="L892" s="98"/>
      <c r="M892" s="98"/>
      <c r="N892" s="98"/>
      <c r="O892" s="98"/>
    </row>
    <row r="893" spans="1:15" ht="15" customHeight="1">
      <c r="A893" s="39"/>
      <c r="B893" s="42"/>
      <c r="C893" s="254"/>
      <c r="D893" s="81"/>
      <c r="E893" s="58"/>
      <c r="F893" s="193"/>
      <c r="G893" s="200"/>
      <c r="H893" s="98"/>
      <c r="I893" s="98"/>
      <c r="J893" s="98"/>
      <c r="K893" s="98"/>
      <c r="L893" s="98"/>
      <c r="M893" s="98"/>
      <c r="N893" s="98"/>
      <c r="O893" s="98"/>
    </row>
    <row r="894" spans="1:15" ht="15" customHeight="1">
      <c r="A894" s="310"/>
      <c r="B894" s="311"/>
      <c r="C894" s="40"/>
      <c r="D894" s="56"/>
      <c r="E894" s="52">
        <f>SUM(E896:E899)</f>
        <v>11.938</v>
      </c>
      <c r="F894" s="98"/>
      <c r="G894" s="98"/>
      <c r="H894" s="98"/>
      <c r="I894" s="98"/>
      <c r="J894" s="98"/>
      <c r="K894" s="98"/>
      <c r="L894" s="98"/>
      <c r="M894" s="98"/>
      <c r="N894" s="98"/>
      <c r="O894" s="98"/>
    </row>
    <row r="895" spans="1:18" ht="15" customHeight="1">
      <c r="A895" s="306" t="s">
        <v>5</v>
      </c>
      <c r="B895" s="306"/>
      <c r="C895" s="40" t="s">
        <v>17</v>
      </c>
      <c r="D895" s="209" t="s">
        <v>18</v>
      </c>
      <c r="E895" s="39" t="s">
        <v>7</v>
      </c>
      <c r="F895" s="98"/>
      <c r="G895" s="93" t="str">
        <f>CONCATENATE("Misc. Iron Scrap, Lying at ",C896,". Quantity in MT - ")</f>
        <v>Misc. Iron Scrap, Lying at OL Malerkotla. Quantity in MT - </v>
      </c>
      <c r="H895" s="309" t="str">
        <f ca="1">CONCATENATE(G895,G896,(INDIRECT(I896)),(INDIRECT(J896)),(INDIRECT(K896)),(INDIRECT(L896)),(INDIRECT(M896)),(INDIRECT(N896)),(INDIRECT(O896)),(INDIRECT(P896)),(INDIRECT(Q896)),(INDIRECT(R896)),".")</f>
        <v>Misc. Iron Scrap, Lying at OL Malerkotla. Quantity in MT - MS iron scrap - 6.273, Transformer body scrap - 4.902, MS Rail scrap - 0.691, M.S. Nuts &amp; Bolts Scrap - 0.072, .</v>
      </c>
      <c r="I895" s="98" t="str">
        <f aca="true" ca="1" t="array" ref="I895">CELL("address",INDEX(G895:G913,MATCH(TRUE,ISBLANK(G895:G913),0)))</f>
        <v>$G$900</v>
      </c>
      <c r="J895" s="98">
        <f aca="true" t="array" ref="J895">MATCH(TRUE,ISBLANK(G895:G913),0)</f>
        <v>6</v>
      </c>
      <c r="K895" s="98">
        <f>J895-3</f>
        <v>3</v>
      </c>
      <c r="L895" s="98"/>
      <c r="M895" s="98"/>
      <c r="N895" s="98"/>
      <c r="O895" s="98"/>
      <c r="P895" s="98"/>
      <c r="Q895" s="98"/>
      <c r="R895" s="98"/>
    </row>
    <row r="896" spans="1:18" ht="15" customHeight="1">
      <c r="A896" s="306" t="s">
        <v>191</v>
      </c>
      <c r="B896" s="306"/>
      <c r="C896" s="308" t="s">
        <v>126</v>
      </c>
      <c r="D896" s="42" t="s">
        <v>29</v>
      </c>
      <c r="E896" s="69">
        <v>6.273</v>
      </c>
      <c r="F896" s="98"/>
      <c r="G896" s="92" t="str">
        <f>CONCATENATE(D896," - ",E896,", ")</f>
        <v>MS iron scrap - 6.273, </v>
      </c>
      <c r="H896" s="309"/>
      <c r="I896" s="98" t="str">
        <f ca="1">IF(J895&gt;=3,(MID(I895,2,1)&amp;MID(I895,4,3)-K895),CELL("address",Z896))</f>
        <v>G897</v>
      </c>
      <c r="J896" s="98" t="str">
        <f ca="1">IF(J895&gt;=4,(MID(I896,1,1)&amp;MID(I896,2,3)+1),CELL("address",AA896))</f>
        <v>G898</v>
      </c>
      <c r="K896" s="98" t="str">
        <f ca="1">IF(J895&gt;=5,(MID(J896,1,1)&amp;MID(J896,2,3)+1),CELL("address",AB896))</f>
        <v>G899</v>
      </c>
      <c r="L896" s="98" t="str">
        <f ca="1">IF(J895&gt;=6,(MID(K896,1,1)&amp;MID(K896,2,3)+1),CELL("address",AC896))</f>
        <v>G900</v>
      </c>
      <c r="M896" s="98" t="str">
        <f ca="1">IF(J895&gt;=7,(MID(L896,1,1)&amp;MID(L896,2,3)+1),CELL("address",AD896))</f>
        <v>$AD$896</v>
      </c>
      <c r="N896" s="98" t="str">
        <f ca="1">IF(J895&gt;=8,(MID(M896,1,1)&amp;MID(M896,2,3)+1),CELL("address",AE896))</f>
        <v>$AE$896</v>
      </c>
      <c r="O896" s="98" t="str">
        <f ca="1">IF(J895&gt;=9,(MID(N896,1,1)&amp;MID(N896,2,3)+1),CELL("address",AF896))</f>
        <v>$AF$896</v>
      </c>
      <c r="P896" s="98" t="str">
        <f ca="1">IF(J895&gt;=10,(MID(O896,1,1)&amp;MID(O896,2,3)+1),CELL("address",AG896))</f>
        <v>$AG$896</v>
      </c>
      <c r="Q896" s="98" t="str">
        <f ca="1">IF(J895&gt;=11,(MID(P896,1,1)&amp;MID(P896,2,3)+1),CELL("address",AH896))</f>
        <v>$AH$896</v>
      </c>
      <c r="R896" s="98" t="str">
        <f ca="1">IF(J895&gt;=12,(MID(Q896,1,1)&amp;MID(Q896,2,3)+1),CELL("address",AI896))</f>
        <v>$AI$896</v>
      </c>
    </row>
    <row r="897" spans="1:15" ht="15" customHeight="1">
      <c r="A897" s="306"/>
      <c r="B897" s="306"/>
      <c r="C897" s="308"/>
      <c r="D897" s="81" t="s">
        <v>60</v>
      </c>
      <c r="E897" s="69">
        <v>4.902</v>
      </c>
      <c r="F897" s="98"/>
      <c r="G897" s="92" t="str">
        <f>CONCATENATE(D897," - ",E897,", ")</f>
        <v>Transformer body scrap - 4.902, </v>
      </c>
      <c r="H897" s="98"/>
      <c r="I897" s="98" t="e">
        <f ca="1">IF(G896&gt;=6,(MID(H897,1,1)&amp;MID(H897,2,3)+1),CELL("address",Z897))</f>
        <v>#VALUE!</v>
      </c>
      <c r="J897" s="98" t="e">
        <f ca="1">IF(G896&gt;=7,(MID(I897,1,1)&amp;MID(I897,2,3)+1),CELL("address",AA897))</f>
        <v>#VALUE!</v>
      </c>
      <c r="K897" s="98" t="e">
        <f ca="1">IF(G896&gt;=8,(MID(J897,1,1)&amp;MID(J897,2,3)+1),CELL("address",AB897))</f>
        <v>#VALUE!</v>
      </c>
      <c r="L897" s="98" t="e">
        <f ca="1">IF(G896&gt;=9,(MID(K897,1,1)&amp;MID(K897,2,3)+1),CELL("address",AC897))</f>
        <v>#VALUE!</v>
      </c>
      <c r="M897" s="98" t="e">
        <f ca="1">IF(G896&gt;=10,(MID(L897,1,1)&amp;MID(L897,2,3)+1),CELL("address",AD897))</f>
        <v>#VALUE!</v>
      </c>
      <c r="N897" s="98" t="e">
        <f ca="1">IF(G896&gt;=11,(MID(M897,1,1)&amp;MID(M897,2,3)+1),CELL("address",AE897))</f>
        <v>#VALUE!</v>
      </c>
      <c r="O897" s="98" t="e">
        <f ca="1">IF(G896&gt;=12,(MID(N897,1,1)&amp;MID(N897,2,3)+1),CELL("address",AF897))</f>
        <v>#VALUE!</v>
      </c>
    </row>
    <row r="898" spans="1:15" ht="15" customHeight="1">
      <c r="A898" s="306"/>
      <c r="B898" s="306"/>
      <c r="C898" s="308"/>
      <c r="D898" s="42" t="s">
        <v>61</v>
      </c>
      <c r="E898" s="58">
        <v>0.691</v>
      </c>
      <c r="F898" s="98"/>
      <c r="G898" s="92" t="str">
        <f>CONCATENATE(D898," - ",E898,", ")</f>
        <v>MS Rail scrap - 0.691, </v>
      </c>
      <c r="H898" s="98"/>
      <c r="I898" s="98"/>
      <c r="J898" s="98"/>
      <c r="K898" s="98"/>
      <c r="L898" s="98"/>
      <c r="M898" s="98"/>
      <c r="N898" s="98"/>
      <c r="O898" s="98"/>
    </row>
    <row r="899" spans="1:15" ht="15" customHeight="1">
      <c r="A899" s="306"/>
      <c r="B899" s="306"/>
      <c r="C899" s="308"/>
      <c r="D899" s="81" t="s">
        <v>198</v>
      </c>
      <c r="E899" s="58">
        <v>0.072</v>
      </c>
      <c r="F899" s="98"/>
      <c r="G899" s="92" t="str">
        <f>CONCATENATE(D899," - ",E899,", ")</f>
        <v>M.S. Nuts &amp; Bolts Scrap - 0.072, </v>
      </c>
      <c r="H899" s="98"/>
      <c r="I899" s="98"/>
      <c r="J899" s="98"/>
      <c r="K899" s="98"/>
      <c r="L899" s="98"/>
      <c r="M899" s="98"/>
      <c r="N899" s="98"/>
      <c r="O899" s="98"/>
    </row>
    <row r="900" spans="1:15" ht="15" customHeight="1">
      <c r="A900" s="39"/>
      <c r="B900" s="41"/>
      <c r="C900" s="48"/>
      <c r="D900" s="38"/>
      <c r="E900" s="177"/>
      <c r="F900" s="98"/>
      <c r="G900" s="98"/>
      <c r="H900" s="98"/>
      <c r="I900" s="98"/>
      <c r="J900" s="98"/>
      <c r="K900" s="98"/>
      <c r="L900" s="98"/>
      <c r="M900" s="98"/>
      <c r="N900" s="98"/>
      <c r="O900" s="98"/>
    </row>
    <row r="901" spans="1:15" ht="15" customHeight="1">
      <c r="A901" s="53"/>
      <c r="B901" s="54"/>
      <c r="C901" s="54"/>
      <c r="D901" s="55"/>
      <c r="E901" s="161">
        <f>SUM(E903:E906)</f>
        <v>4.8100000000000005</v>
      </c>
      <c r="F901" s="98"/>
      <c r="G901" s="98"/>
      <c r="H901" s="98"/>
      <c r="I901" s="98"/>
      <c r="J901" s="98"/>
      <c r="K901" s="98"/>
      <c r="L901" s="98"/>
      <c r="M901" s="98"/>
      <c r="N901" s="98"/>
      <c r="O901" s="98"/>
    </row>
    <row r="902" spans="1:18" ht="15" customHeight="1">
      <c r="A902" s="306" t="s">
        <v>5</v>
      </c>
      <c r="B902" s="306"/>
      <c r="C902" s="40" t="s">
        <v>17</v>
      </c>
      <c r="D902" s="209" t="s">
        <v>18</v>
      </c>
      <c r="E902" s="39" t="s">
        <v>7</v>
      </c>
      <c r="F902" s="98"/>
      <c r="G902" s="93" t="str">
        <f>CONCATENATE("Misc. Iron Scrap, Lying at ",C903,". Quantity in MT - ")</f>
        <v>Misc. Iron Scrap, Lying at CS Malout. Quantity in MT - </v>
      </c>
      <c r="H902" s="309" t="str">
        <f ca="1">CONCATENATE(G902,G903,(INDIRECT(I903)),(INDIRECT(J903)),(INDIRECT(K903)),(INDIRECT(L903)),(INDIRECT(M903)),(INDIRECT(N903)),(INDIRECT(O903)),(INDIRECT(P903)),(INDIRECT(Q903)),(INDIRECT(R903)),".")</f>
        <v>Misc. Iron Scrap, Lying at CS Malout. Quantity in MT - MS iron scrap - 4.729, M.S. Nuts &amp; Bolts Scrap - 0.025, G.I. Scrap - 0.027, G.I. Wire/GSL scrap - 0.029, .</v>
      </c>
      <c r="I902" s="98" t="str">
        <f aca="true" ca="1" t="array" ref="I902">CELL("address",INDEX(G902:G921,MATCH(TRUE,ISBLANK(G902:G921),0)))</f>
        <v>$G$907</v>
      </c>
      <c r="J902" s="98">
        <f aca="true" t="array" ref="J902">MATCH(TRUE,ISBLANK(G902:G921),0)</f>
        <v>6</v>
      </c>
      <c r="K902" s="98">
        <f>J902-3</f>
        <v>3</v>
      </c>
      <c r="L902" s="98"/>
      <c r="M902" s="98"/>
      <c r="N902" s="98"/>
      <c r="O902" s="98"/>
      <c r="P902" s="98"/>
      <c r="Q902" s="98"/>
      <c r="R902" s="98"/>
    </row>
    <row r="903" spans="1:18" ht="15" customHeight="1">
      <c r="A903" s="306" t="s">
        <v>396</v>
      </c>
      <c r="B903" s="306"/>
      <c r="C903" s="308" t="s">
        <v>95</v>
      </c>
      <c r="D903" s="42" t="s">
        <v>29</v>
      </c>
      <c r="E903" s="69">
        <v>4.729</v>
      </c>
      <c r="F903" s="98"/>
      <c r="G903" s="92" t="str">
        <f>CONCATENATE(D903," - ",E903,", ")</f>
        <v>MS iron scrap - 4.729, </v>
      </c>
      <c r="H903" s="309"/>
      <c r="I903" s="98" t="str">
        <f ca="1">IF(J902&gt;=3,(MID(I902,2,1)&amp;MID(I902,4,3)-K902),CELL("address",Z903))</f>
        <v>G904</v>
      </c>
      <c r="J903" s="98" t="str">
        <f ca="1">IF(J902&gt;=4,(MID(I903,1,1)&amp;MID(I903,2,3)+1),CELL("address",AA903))</f>
        <v>G905</v>
      </c>
      <c r="K903" s="98" t="str">
        <f ca="1">IF(J902&gt;=5,(MID(J903,1,1)&amp;MID(J903,2,3)+1),CELL("address",AB903))</f>
        <v>G906</v>
      </c>
      <c r="L903" s="98" t="str">
        <f ca="1">IF(J902&gt;=6,(MID(K903,1,1)&amp;MID(K903,2,3)+1),CELL("address",AC903))</f>
        <v>G907</v>
      </c>
      <c r="M903" s="98" t="str">
        <f ca="1">IF(J902&gt;=7,(MID(L903,1,1)&amp;MID(L903,2,3)+1),CELL("address",AD903))</f>
        <v>$AD$903</v>
      </c>
      <c r="N903" s="98" t="str">
        <f ca="1">IF(J902&gt;=8,(MID(M903,1,1)&amp;MID(M903,2,3)+1),CELL("address",AE903))</f>
        <v>$AE$903</v>
      </c>
      <c r="O903" s="98" t="str">
        <f ca="1">IF(J902&gt;=9,(MID(N903,1,1)&amp;MID(N903,2,3)+1),CELL("address",AF903))</f>
        <v>$AF$903</v>
      </c>
      <c r="P903" s="98" t="str">
        <f ca="1">IF(J902&gt;=10,(MID(O903,1,1)&amp;MID(O903,2,3)+1),CELL("address",AG903))</f>
        <v>$AG$903</v>
      </c>
      <c r="Q903" s="98" t="str">
        <f ca="1">IF(J902&gt;=11,(MID(P903,1,1)&amp;MID(P903,2,3)+1),CELL("address",AH903))</f>
        <v>$AH$903</v>
      </c>
      <c r="R903" s="98" t="str">
        <f ca="1">IF(J902&gt;=12,(MID(Q903,1,1)&amp;MID(Q903,2,3)+1),CELL("address",AI903))</f>
        <v>$AI$903</v>
      </c>
    </row>
    <row r="904" spans="1:15" ht="15" customHeight="1">
      <c r="A904" s="306"/>
      <c r="B904" s="306"/>
      <c r="C904" s="308"/>
      <c r="D904" s="81" t="s">
        <v>198</v>
      </c>
      <c r="E904" s="69">
        <v>0.025</v>
      </c>
      <c r="F904" s="98"/>
      <c r="G904" s="92" t="str">
        <f>CONCATENATE(D904," - ",E904,", ")</f>
        <v>M.S. Nuts &amp; Bolts Scrap - 0.025, </v>
      </c>
      <c r="H904" s="98"/>
      <c r="I904" s="98"/>
      <c r="J904" s="98"/>
      <c r="K904" s="98"/>
      <c r="L904" s="98"/>
      <c r="M904" s="98"/>
      <c r="N904" s="98"/>
      <c r="O904" s="98"/>
    </row>
    <row r="905" spans="1:15" ht="15" customHeight="1">
      <c r="A905" s="306"/>
      <c r="B905" s="306"/>
      <c r="C905" s="308"/>
      <c r="D905" s="81" t="s">
        <v>197</v>
      </c>
      <c r="E905" s="58">
        <v>0.027</v>
      </c>
      <c r="F905" s="98"/>
      <c r="G905" s="92" t="str">
        <f>CONCATENATE(D905," - ",E905,", ")</f>
        <v>G.I. Scrap - 0.027, </v>
      </c>
      <c r="H905" s="98"/>
      <c r="I905" s="98"/>
      <c r="J905" s="98"/>
      <c r="K905" s="98"/>
      <c r="L905" s="98"/>
      <c r="M905" s="98"/>
      <c r="N905" s="98"/>
      <c r="O905" s="98"/>
    </row>
    <row r="906" spans="1:15" ht="15" customHeight="1">
      <c r="A906" s="306"/>
      <c r="B906" s="306"/>
      <c r="C906" s="308"/>
      <c r="D906" s="45" t="s">
        <v>397</v>
      </c>
      <c r="E906" s="58">
        <v>0.029</v>
      </c>
      <c r="F906" s="98"/>
      <c r="G906" s="92" t="str">
        <f>CONCATENATE(D906," - ",E906,", ")</f>
        <v>G.I. Wire/GSL scrap - 0.029, </v>
      </c>
      <c r="H906" s="98"/>
      <c r="I906" s="98"/>
      <c r="J906" s="98"/>
      <c r="K906" s="98"/>
      <c r="L906" s="98"/>
      <c r="M906" s="98"/>
      <c r="N906" s="98"/>
      <c r="O906" s="98"/>
    </row>
    <row r="907" spans="1:15" ht="15" customHeight="1">
      <c r="A907" s="39"/>
      <c r="B907" s="41"/>
      <c r="C907" s="48"/>
      <c r="D907" s="38"/>
      <c r="E907" s="177"/>
      <c r="F907" s="98"/>
      <c r="G907" s="98"/>
      <c r="H907" s="98"/>
      <c r="I907" s="98"/>
      <c r="J907" s="98"/>
      <c r="K907" s="98"/>
      <c r="L907" s="98"/>
      <c r="M907" s="98"/>
      <c r="N907" s="98"/>
      <c r="O907" s="98"/>
    </row>
    <row r="908" spans="1:15" ht="15" customHeight="1">
      <c r="A908" s="53"/>
      <c r="B908" s="54"/>
      <c r="C908" s="54"/>
      <c r="D908" s="55"/>
      <c r="E908" s="161">
        <f>SUM(E910:E913)</f>
        <v>4.393</v>
      </c>
      <c r="F908" s="98"/>
      <c r="G908" s="98"/>
      <c r="H908" s="98"/>
      <c r="I908" s="98"/>
      <c r="J908" s="98"/>
      <c r="K908" s="98"/>
      <c r="L908" s="98"/>
      <c r="M908" s="98"/>
      <c r="N908" s="98"/>
      <c r="O908" s="98"/>
    </row>
    <row r="909" spans="1:18" ht="15" customHeight="1">
      <c r="A909" s="306" t="s">
        <v>5</v>
      </c>
      <c r="B909" s="306"/>
      <c r="C909" s="40" t="s">
        <v>17</v>
      </c>
      <c r="D909" s="209" t="s">
        <v>18</v>
      </c>
      <c r="E909" s="39" t="s">
        <v>7</v>
      </c>
      <c r="F909" s="98"/>
      <c r="G909" s="93" t="str">
        <f>CONCATENATE("Misc. Iron Scrap, Lying at ",C910,". Quantity in MT - ")</f>
        <v>Misc. Iron Scrap, Lying at CS Bathinda. Quantity in MT - </v>
      </c>
      <c r="H909" s="309" t="str">
        <f ca="1">CONCATENATE(G909,G910,(INDIRECT(I910)),(INDIRECT(J910)),(INDIRECT(K910)),(INDIRECT(L910)),(INDIRECT(M910)),(INDIRECT(N910)),(INDIRECT(O910)),(INDIRECT(P910)),(INDIRECT(Q910)),(INDIRECT(R910)),".")</f>
        <v>Misc. Iron Scrap, Lying at CS Bathinda. Quantity in MT - MS iron scrap - 3.518, MS Rail scrap - 0.8, Teen Patra scrap - 0.035, G.I. Scrap - 0.04, .</v>
      </c>
      <c r="I909" s="98" t="str">
        <f aca="true" ca="1" t="array" ref="I909">CELL("address",INDEX(G909:G928,MATCH(TRUE,ISBLANK(G909:G928),0)))</f>
        <v>$G$914</v>
      </c>
      <c r="J909" s="98">
        <f aca="true" t="array" ref="J909">MATCH(TRUE,ISBLANK(G909:G928),0)</f>
        <v>6</v>
      </c>
      <c r="K909" s="98">
        <f>J909-3</f>
        <v>3</v>
      </c>
      <c r="L909" s="98"/>
      <c r="M909" s="98"/>
      <c r="N909" s="98"/>
      <c r="O909" s="98"/>
      <c r="P909" s="98"/>
      <c r="Q909" s="98"/>
      <c r="R909" s="98"/>
    </row>
    <row r="910" spans="1:18" ht="15" customHeight="1">
      <c r="A910" s="306" t="s">
        <v>407</v>
      </c>
      <c r="B910" s="306"/>
      <c r="C910" s="308" t="s">
        <v>63</v>
      </c>
      <c r="D910" s="42" t="s">
        <v>29</v>
      </c>
      <c r="E910" s="69">
        <v>3.518</v>
      </c>
      <c r="F910" s="98"/>
      <c r="G910" s="92" t="str">
        <f>CONCATENATE(D910," - ",E910,", ")</f>
        <v>MS iron scrap - 3.518, </v>
      </c>
      <c r="H910" s="309"/>
      <c r="I910" s="98" t="str">
        <f ca="1">IF(J909&gt;=3,(MID(I909,2,1)&amp;MID(I909,4,3)-K909),CELL("address",Z910))</f>
        <v>G911</v>
      </c>
      <c r="J910" s="98" t="str">
        <f ca="1">IF(J909&gt;=4,(MID(I910,1,1)&amp;MID(I910,2,3)+1),CELL("address",AA910))</f>
        <v>G912</v>
      </c>
      <c r="K910" s="98" t="str">
        <f ca="1">IF(J909&gt;=5,(MID(J910,1,1)&amp;MID(J910,2,3)+1),CELL("address",AB910))</f>
        <v>G913</v>
      </c>
      <c r="L910" s="98" t="str">
        <f ca="1">IF(J909&gt;=6,(MID(K910,1,1)&amp;MID(K910,2,3)+1),CELL("address",AC910))</f>
        <v>G914</v>
      </c>
      <c r="M910" s="98" t="str">
        <f ca="1">IF(J909&gt;=7,(MID(L910,1,1)&amp;MID(L910,2,3)+1),CELL("address",AD910))</f>
        <v>$AD$910</v>
      </c>
      <c r="N910" s="98" t="str">
        <f ca="1">IF(J909&gt;=8,(MID(M910,1,1)&amp;MID(M910,2,3)+1),CELL("address",AE910))</f>
        <v>$AE$910</v>
      </c>
      <c r="O910" s="98" t="str">
        <f ca="1">IF(J909&gt;=9,(MID(N910,1,1)&amp;MID(N910,2,3)+1),CELL("address",AF910))</f>
        <v>$AF$910</v>
      </c>
      <c r="P910" s="98" t="str">
        <f ca="1">IF(J909&gt;=10,(MID(O910,1,1)&amp;MID(O910,2,3)+1),CELL("address",AG910))</f>
        <v>$AG$910</v>
      </c>
      <c r="Q910" s="98" t="str">
        <f ca="1">IF(J909&gt;=11,(MID(P910,1,1)&amp;MID(P910,2,3)+1),CELL("address",AH910))</f>
        <v>$AH$910</v>
      </c>
      <c r="R910" s="98" t="str">
        <f ca="1">IF(J909&gt;=12,(MID(Q910,1,1)&amp;MID(Q910,2,3)+1),CELL("address",AI910))</f>
        <v>$AI$910</v>
      </c>
    </row>
    <row r="911" spans="1:15" ht="15" customHeight="1">
      <c r="A911" s="306"/>
      <c r="B911" s="306"/>
      <c r="C911" s="308"/>
      <c r="D911" s="42" t="s">
        <v>61</v>
      </c>
      <c r="E911" s="69">
        <v>0.8</v>
      </c>
      <c r="F911" s="98"/>
      <c r="G911" s="92" t="str">
        <f>CONCATENATE(D911," - ",E911,", ")</f>
        <v>MS Rail scrap - 0.8, </v>
      </c>
      <c r="H911" s="98"/>
      <c r="I911" s="98" t="e">
        <f ca="1">IF(G910&gt;=6,(MID(H911,1,1)&amp;MID(H911,2,3)+1),CELL("address",Z911))</f>
        <v>#VALUE!</v>
      </c>
      <c r="J911" s="98" t="e">
        <f ca="1">IF(G910&gt;=7,(MID(I911,1,1)&amp;MID(I911,2,3)+1),CELL("address",AA911))</f>
        <v>#VALUE!</v>
      </c>
      <c r="K911" s="98" t="e">
        <f ca="1">IF(G910&gt;=8,(MID(J911,1,1)&amp;MID(J911,2,3)+1),CELL("address",AB911))</f>
        <v>#VALUE!</v>
      </c>
      <c r="L911" s="98" t="e">
        <f ca="1">IF(G910&gt;=9,(MID(K911,1,1)&amp;MID(K911,2,3)+1),CELL("address",AC911))</f>
        <v>#VALUE!</v>
      </c>
      <c r="M911" s="98" t="e">
        <f ca="1">IF(G910&gt;=10,(MID(L911,1,1)&amp;MID(L911,2,3)+1),CELL("address",AD911))</f>
        <v>#VALUE!</v>
      </c>
      <c r="N911" s="98" t="e">
        <f ca="1">IF(G910&gt;=11,(MID(M911,1,1)&amp;MID(M911,2,3)+1),CELL("address",AE911))</f>
        <v>#VALUE!</v>
      </c>
      <c r="O911" s="98" t="e">
        <f ca="1">IF(G910&gt;=12,(MID(N911,1,1)&amp;MID(N911,2,3)+1),CELL("address",AF911))</f>
        <v>#VALUE!</v>
      </c>
    </row>
    <row r="912" spans="1:15" ht="15" customHeight="1">
      <c r="A912" s="306"/>
      <c r="B912" s="306"/>
      <c r="C912" s="308"/>
      <c r="D912" s="45" t="s">
        <v>64</v>
      </c>
      <c r="E912" s="58">
        <v>0.035</v>
      </c>
      <c r="F912" s="98"/>
      <c r="G912" s="92" t="str">
        <f>CONCATENATE(D912," - ",E912,", ")</f>
        <v>Teen Patra scrap - 0.035, </v>
      </c>
      <c r="H912" s="98"/>
      <c r="I912" s="98"/>
      <c r="J912" s="98"/>
      <c r="K912" s="98"/>
      <c r="L912" s="98"/>
      <c r="M912" s="98"/>
      <c r="N912" s="98"/>
      <c r="O912" s="98"/>
    </row>
    <row r="913" spans="1:15" ht="15" customHeight="1">
      <c r="A913" s="306"/>
      <c r="B913" s="306"/>
      <c r="C913" s="308"/>
      <c r="D913" s="81" t="s">
        <v>197</v>
      </c>
      <c r="E913" s="58">
        <v>0.04</v>
      </c>
      <c r="F913" s="98"/>
      <c r="G913" s="92" t="str">
        <f>CONCATENATE(D913," - ",E913,", ")</f>
        <v>G.I. Scrap - 0.04, </v>
      </c>
      <c r="H913" s="98"/>
      <c r="I913" s="98"/>
      <c r="J913" s="98"/>
      <c r="K913" s="98"/>
      <c r="L913" s="98"/>
      <c r="M913" s="98"/>
      <c r="N913" s="98"/>
      <c r="O913" s="98"/>
    </row>
    <row r="914" spans="1:15" ht="15" customHeight="1">
      <c r="A914" s="39"/>
      <c r="B914" s="41"/>
      <c r="C914" s="48"/>
      <c r="D914" s="38"/>
      <c r="E914" s="177"/>
      <c r="F914" s="98"/>
      <c r="G914" s="98"/>
      <c r="H914" s="98"/>
      <c r="I914" s="98"/>
      <c r="J914" s="98"/>
      <c r="K914" s="98"/>
      <c r="L914" s="98"/>
      <c r="M914" s="98"/>
      <c r="N914" s="98"/>
      <c r="O914" s="98"/>
    </row>
    <row r="915" spans="1:15" ht="15" customHeight="1">
      <c r="A915" s="53"/>
      <c r="B915" s="54"/>
      <c r="C915" s="54"/>
      <c r="D915" s="56"/>
      <c r="E915" s="52">
        <f>SUM(E917:E919)</f>
        <v>2.716</v>
      </c>
      <c r="F915" s="98"/>
      <c r="G915" s="98"/>
      <c r="H915" s="98"/>
      <c r="I915" s="98"/>
      <c r="J915" s="98"/>
      <c r="K915" s="98"/>
      <c r="L915" s="98"/>
      <c r="M915" s="98"/>
      <c r="N915" s="98"/>
      <c r="O915" s="98"/>
    </row>
    <row r="916" spans="1:18" ht="15" customHeight="1">
      <c r="A916" s="316" t="s">
        <v>5</v>
      </c>
      <c r="B916" s="316"/>
      <c r="C916" s="23" t="s">
        <v>17</v>
      </c>
      <c r="D916" s="72" t="s">
        <v>18</v>
      </c>
      <c r="E916" s="23" t="s">
        <v>7</v>
      </c>
      <c r="F916" s="98"/>
      <c r="G916" s="93" t="str">
        <f>CONCATENATE("Misc. Iron Scrap, Lying at ",C917,". Quantity in MT - ")</f>
        <v>Misc. Iron Scrap, Lying at OL Moga. Quantity in MT - </v>
      </c>
      <c r="H916" s="309" t="str">
        <f ca="1">CONCATENATE(G916,G917,(INDIRECT(I917)),(INDIRECT(J917)),(INDIRECT(K917)),(INDIRECT(L917)),(INDIRECT(M917)),(INDIRECT(N917)),(INDIRECT(O917)),(INDIRECT(P917)),(INDIRECT(Q917)),(INDIRECT(R917)),".")</f>
        <v>Misc. Iron Scrap, Lying at OL Moga. Quantity in MT - MS iron scrap - 1.893, Transformer body scrap - 0.315, MS Rail scrap - 0.508, .</v>
      </c>
      <c r="I916" s="98" t="str">
        <f aca="true" ca="1" t="array" ref="I916">CELL("address",INDEX(G916:G936,MATCH(TRUE,ISBLANK(G916:G936),0)))</f>
        <v>$G$920</v>
      </c>
      <c r="J916" s="98">
        <f aca="true" t="array" ref="J916">MATCH(TRUE,ISBLANK(G916:G936),0)</f>
        <v>5</v>
      </c>
      <c r="K916" s="98">
        <f>J916-3</f>
        <v>2</v>
      </c>
      <c r="L916" s="98"/>
      <c r="M916" s="98"/>
      <c r="N916" s="98"/>
      <c r="O916" s="98"/>
      <c r="P916" s="98"/>
      <c r="Q916" s="98"/>
      <c r="R916" s="98"/>
    </row>
    <row r="917" spans="1:18" ht="15" customHeight="1">
      <c r="A917" s="306" t="s">
        <v>408</v>
      </c>
      <c r="B917" s="306"/>
      <c r="C917" s="308" t="s">
        <v>267</v>
      </c>
      <c r="D917" s="42" t="s">
        <v>29</v>
      </c>
      <c r="E917" s="46">
        <v>1.893</v>
      </c>
      <c r="F917" s="98"/>
      <c r="G917" s="92" t="str">
        <f>CONCATENATE(D917," - ",E917,", ")</f>
        <v>MS iron scrap - 1.893, </v>
      </c>
      <c r="H917" s="309"/>
      <c r="I917" s="98" t="str">
        <f ca="1">IF(J916&gt;=3,(MID(I916,2,1)&amp;MID(I916,4,3)-K916),CELL("address",Z917))</f>
        <v>G918</v>
      </c>
      <c r="J917" s="98" t="str">
        <f ca="1">IF(J916&gt;=4,(MID(I917,1,1)&amp;MID(I917,2,3)+1),CELL("address",AA917))</f>
        <v>G919</v>
      </c>
      <c r="K917" s="98" t="str">
        <f ca="1">IF(J916&gt;=5,(MID(J917,1,1)&amp;MID(J917,2,3)+1),CELL("address",AB917))</f>
        <v>G920</v>
      </c>
      <c r="L917" s="98" t="str">
        <f ca="1">IF(J916&gt;=6,(MID(K917,1,1)&amp;MID(K917,2,3)+1),CELL("address",AC917))</f>
        <v>$AC$917</v>
      </c>
      <c r="M917" s="98" t="str">
        <f ca="1">IF(J916&gt;=7,(MID(L917,1,1)&amp;MID(L917,2,3)+1),CELL("address",AD917))</f>
        <v>$AD$917</v>
      </c>
      <c r="N917" s="98" t="str">
        <f ca="1">IF(J916&gt;=8,(MID(M917,1,1)&amp;MID(M917,2,3)+1),CELL("address",AE917))</f>
        <v>$AE$917</v>
      </c>
      <c r="O917" s="98" t="str">
        <f ca="1">IF(J916&gt;=9,(MID(N917,1,1)&amp;MID(N917,2,3)+1),CELL("address",AF917))</f>
        <v>$AF$917</v>
      </c>
      <c r="P917" s="98" t="str">
        <f ca="1">IF(J916&gt;=10,(MID(O917,1,1)&amp;MID(O917,2,3)+1),CELL("address",AG917))</f>
        <v>$AG$917</v>
      </c>
      <c r="Q917" s="98" t="str">
        <f ca="1">IF(J916&gt;=11,(MID(P917,1,1)&amp;MID(P917,2,3)+1),CELL("address",AH917))</f>
        <v>$AH$917</v>
      </c>
      <c r="R917" s="98" t="str">
        <f ca="1">IF(J916&gt;=12,(MID(Q917,1,1)&amp;MID(Q917,2,3)+1),CELL("address",AI917))</f>
        <v>$AI$917</v>
      </c>
    </row>
    <row r="918" spans="1:15" ht="15" customHeight="1">
      <c r="A918" s="306"/>
      <c r="B918" s="306"/>
      <c r="C918" s="308"/>
      <c r="D918" s="81" t="s">
        <v>60</v>
      </c>
      <c r="E918" s="46">
        <v>0.315</v>
      </c>
      <c r="F918" s="98"/>
      <c r="G918" s="92" t="str">
        <f>CONCATENATE(D918," - ",E918,", ")</f>
        <v>Transformer body scrap - 0.315, </v>
      </c>
      <c r="H918" s="98"/>
      <c r="I918" s="98"/>
      <c r="J918" s="98"/>
      <c r="K918" s="98"/>
      <c r="L918" s="98"/>
      <c r="M918" s="98"/>
      <c r="N918" s="98"/>
      <c r="O918" s="98"/>
    </row>
    <row r="919" spans="1:15" ht="15" customHeight="1">
      <c r="A919" s="306"/>
      <c r="B919" s="306"/>
      <c r="C919" s="308"/>
      <c r="D919" s="42" t="s">
        <v>61</v>
      </c>
      <c r="E919" s="58">
        <v>0.508</v>
      </c>
      <c r="F919" s="193"/>
      <c r="G919" s="92" t="str">
        <f>CONCATENATE(D919," - ",E919,", ")</f>
        <v>MS Rail scrap - 0.508, </v>
      </c>
      <c r="H919" s="98"/>
      <c r="I919" s="98"/>
      <c r="J919" s="98"/>
      <c r="K919" s="98"/>
      <c r="L919" s="98"/>
      <c r="M919" s="98"/>
      <c r="N919" s="98"/>
      <c r="O919" s="98"/>
    </row>
    <row r="920" spans="1:15" ht="15" customHeight="1">
      <c r="A920" s="39"/>
      <c r="B920" s="41"/>
      <c r="C920" s="48"/>
      <c r="D920" s="38"/>
      <c r="E920" s="177"/>
      <c r="F920" s="98"/>
      <c r="G920" s="98"/>
      <c r="H920" s="98"/>
      <c r="I920" s="98"/>
      <c r="J920" s="98"/>
      <c r="K920" s="98"/>
      <c r="L920" s="98"/>
      <c r="M920" s="98"/>
      <c r="N920" s="98"/>
      <c r="O920" s="98"/>
    </row>
    <row r="921" spans="1:15" ht="15" customHeight="1">
      <c r="A921" s="53"/>
      <c r="B921" s="54"/>
      <c r="C921" s="54"/>
      <c r="D921" s="55"/>
      <c r="E921" s="161">
        <f>SUM(E923:E924)</f>
        <v>2.737</v>
      </c>
      <c r="F921" s="98"/>
      <c r="G921" s="98"/>
      <c r="H921" s="98"/>
      <c r="I921" s="98"/>
      <c r="J921" s="98"/>
      <c r="K921" s="98"/>
      <c r="L921" s="98"/>
      <c r="M921" s="98"/>
      <c r="N921" s="98"/>
      <c r="O921" s="98"/>
    </row>
    <row r="922" spans="1:18" ht="15" customHeight="1">
      <c r="A922" s="306" t="s">
        <v>5</v>
      </c>
      <c r="B922" s="306"/>
      <c r="C922" s="40" t="s">
        <v>17</v>
      </c>
      <c r="D922" s="209" t="s">
        <v>18</v>
      </c>
      <c r="E922" s="39" t="s">
        <v>7</v>
      </c>
      <c r="F922" s="98"/>
      <c r="G922" s="93" t="str">
        <f>CONCATENATE("Misc. Iron Scrap, Lying at ",C923,". Quantity in MT - ")</f>
        <v>Misc. Iron Scrap, Lying at OL Patran. Quantity in MT - </v>
      </c>
      <c r="H922" s="309" t="str">
        <f ca="1">CONCATENATE(G922,G923,(INDIRECT(I923)),(INDIRECT(J923)),(INDIRECT(K923)),(INDIRECT(L923)),(INDIRECT(M923)),(INDIRECT(N923)),(INDIRECT(O923)),(INDIRECT(P923)),(INDIRECT(Q923)),(INDIRECT(R923)),".")</f>
        <v>Misc. Iron Scrap, Lying at OL Patran. Quantity in MT - MS iron scrap - 2.222, Teen Patra scrap - 0.515, .</v>
      </c>
      <c r="I922" s="98" t="str">
        <f aca="true" ca="1" t="array" ref="I922">CELL("address",INDEX(G922:G959,MATCH(TRUE,ISBLANK(G922:G959),0)))</f>
        <v>$G$925</v>
      </c>
      <c r="J922" s="98">
        <f aca="true" t="array" ref="J922">MATCH(TRUE,ISBLANK(G922:G959),0)</f>
        <v>4</v>
      </c>
      <c r="K922" s="98">
        <f>J922-3</f>
        <v>1</v>
      </c>
      <c r="L922" s="98"/>
      <c r="M922" s="98"/>
      <c r="N922" s="98"/>
      <c r="O922" s="98"/>
      <c r="P922" s="98"/>
      <c r="Q922" s="98"/>
      <c r="R922" s="98"/>
    </row>
    <row r="923" spans="1:18" ht="15" customHeight="1">
      <c r="A923" s="306" t="s">
        <v>412</v>
      </c>
      <c r="B923" s="306"/>
      <c r="C923" s="308" t="s">
        <v>102</v>
      </c>
      <c r="D923" s="42" t="s">
        <v>29</v>
      </c>
      <c r="E923" s="69">
        <v>2.222</v>
      </c>
      <c r="F923" s="98"/>
      <c r="G923" s="92" t="str">
        <f>CONCATENATE(D923," - ",E923,", ")</f>
        <v>MS iron scrap - 2.222, </v>
      </c>
      <c r="H923" s="309"/>
      <c r="I923" s="98" t="str">
        <f ca="1">IF(J922&gt;=3,(MID(I922,2,1)&amp;MID(I922,4,3)-K922),CELL("address",Z923))</f>
        <v>G924</v>
      </c>
      <c r="J923" s="98" t="str">
        <f ca="1">IF(J922&gt;=4,(MID(I923,1,1)&amp;MID(I923,2,3)+1),CELL("address",AA923))</f>
        <v>G925</v>
      </c>
      <c r="K923" s="98" t="str">
        <f ca="1">IF(J922&gt;=5,(MID(J923,1,1)&amp;MID(J923,2,3)+1),CELL("address",AB923))</f>
        <v>$AB$923</v>
      </c>
      <c r="L923" s="98" t="str">
        <f ca="1">IF(J922&gt;=6,(MID(K923,1,1)&amp;MID(K923,2,3)+1),CELL("address",AC923))</f>
        <v>$AC$923</v>
      </c>
      <c r="M923" s="98" t="str">
        <f ca="1">IF(J922&gt;=7,(MID(L923,1,1)&amp;MID(L923,2,3)+1),CELL("address",AD923))</f>
        <v>$AD$923</v>
      </c>
      <c r="N923" s="98" t="str">
        <f ca="1">IF(J922&gt;=8,(MID(M923,1,1)&amp;MID(M923,2,3)+1),CELL("address",AE923))</f>
        <v>$AE$923</v>
      </c>
      <c r="O923" s="98" t="str">
        <f ca="1">IF(J922&gt;=9,(MID(N923,1,1)&amp;MID(N923,2,3)+1),CELL("address",AF923))</f>
        <v>$AF$923</v>
      </c>
      <c r="P923" s="98" t="str">
        <f ca="1">IF(J922&gt;=10,(MID(O923,1,1)&amp;MID(O923,2,3)+1),CELL("address",AG923))</f>
        <v>$AG$923</v>
      </c>
      <c r="Q923" s="98" t="str">
        <f ca="1">IF(J922&gt;=11,(MID(P923,1,1)&amp;MID(P923,2,3)+1),CELL("address",AH923))</f>
        <v>$AH$923</v>
      </c>
      <c r="R923" s="98" t="str">
        <f ca="1">IF(J922&gt;=12,(MID(Q923,1,1)&amp;MID(Q923,2,3)+1),CELL("address",AI923))</f>
        <v>$AI$923</v>
      </c>
    </row>
    <row r="924" spans="1:15" ht="15" customHeight="1">
      <c r="A924" s="306"/>
      <c r="B924" s="306"/>
      <c r="C924" s="308"/>
      <c r="D924" s="45" t="s">
        <v>64</v>
      </c>
      <c r="E924" s="69">
        <v>0.515</v>
      </c>
      <c r="F924" s="98"/>
      <c r="G924" s="92" t="str">
        <f>CONCATENATE(D924," - ",E924,", ")</f>
        <v>Teen Patra scrap - 0.515, </v>
      </c>
      <c r="H924" s="98"/>
      <c r="I924" s="98"/>
      <c r="J924" s="98"/>
      <c r="K924" s="98"/>
      <c r="L924" s="98"/>
      <c r="M924" s="98"/>
      <c r="N924" s="98"/>
      <c r="O924" s="98"/>
    </row>
    <row r="925" spans="1:15" ht="15" customHeight="1">
      <c r="A925" s="39"/>
      <c r="B925" s="41"/>
      <c r="C925" s="48"/>
      <c r="D925" s="189"/>
      <c r="E925" s="58"/>
      <c r="F925" s="98"/>
      <c r="G925" s="98"/>
      <c r="H925" s="98"/>
      <c r="I925" s="98"/>
      <c r="J925" s="98"/>
      <c r="K925" s="98"/>
      <c r="L925" s="98"/>
      <c r="M925" s="98"/>
      <c r="N925" s="98"/>
      <c r="O925" s="98"/>
    </row>
    <row r="926" spans="1:15" ht="15" customHeight="1">
      <c r="A926" s="53"/>
      <c r="B926" s="54"/>
      <c r="C926" s="54"/>
      <c r="D926" s="55"/>
      <c r="E926" s="161">
        <f>SUM(E928:E932)</f>
        <v>7.239</v>
      </c>
      <c r="F926" s="98"/>
      <c r="G926" s="98"/>
      <c r="H926" s="98"/>
      <c r="I926" s="98"/>
      <c r="J926" s="98"/>
      <c r="K926" s="98"/>
      <c r="L926" s="98"/>
      <c r="M926" s="98"/>
      <c r="N926" s="98"/>
      <c r="O926" s="98"/>
    </row>
    <row r="927" spans="1:18" ht="15" customHeight="1">
      <c r="A927" s="306" t="s">
        <v>5</v>
      </c>
      <c r="B927" s="306"/>
      <c r="C927" s="40" t="s">
        <v>17</v>
      </c>
      <c r="D927" s="209" t="s">
        <v>18</v>
      </c>
      <c r="E927" s="39" t="s">
        <v>7</v>
      </c>
      <c r="F927" s="98"/>
      <c r="G927" s="93" t="str">
        <f>CONCATENATE("Misc. Iron Scrap, Lying at ",C928,". Quantity in MT - ")</f>
        <v>Misc. Iron Scrap, Lying at OL Ropar. Quantity in MT - </v>
      </c>
      <c r="H927" s="309" t="str">
        <f ca="1">CONCATENATE(G927,G928,(INDIRECT(I928)),(INDIRECT(J928)),(INDIRECT(K928)),(INDIRECT(L928)),(INDIRECT(M928)),(INDIRECT(N928)),(INDIRECT(O928)),(INDIRECT(P928)),(INDIRECT(Q928)),(INDIRECT(R928)),".")</f>
        <v>Misc. Iron Scrap, Lying at OL Ropar. Quantity in MT - MS iron scrap - 3.454, MS Rail scrap - 1.085, Transformer body scrap - 2.468, G.I. Scrap - 0.167, Teen Patra scrap - 0.065, .</v>
      </c>
      <c r="I927" s="98" t="str">
        <f aca="true" ca="1" t="array" ref="I927">CELL("address",INDEX(G927:G964,MATCH(TRUE,ISBLANK(G927:G964),0)))</f>
        <v>$G$933</v>
      </c>
      <c r="J927" s="98">
        <f aca="true" t="array" ref="J927">MATCH(TRUE,ISBLANK(G927:G964),0)</f>
        <v>7</v>
      </c>
      <c r="K927" s="98">
        <f>J927-3</f>
        <v>4</v>
      </c>
      <c r="L927" s="98"/>
      <c r="M927" s="98"/>
      <c r="N927" s="98"/>
      <c r="O927" s="98"/>
      <c r="P927" s="98"/>
      <c r="Q927" s="98"/>
      <c r="R927" s="98"/>
    </row>
    <row r="928" spans="1:18" ht="15" customHeight="1">
      <c r="A928" s="306" t="s">
        <v>413</v>
      </c>
      <c r="B928" s="306"/>
      <c r="C928" s="308" t="s">
        <v>98</v>
      </c>
      <c r="D928" s="42" t="s">
        <v>29</v>
      </c>
      <c r="E928" s="69">
        <v>3.454</v>
      </c>
      <c r="F928" s="193"/>
      <c r="G928" s="92" t="str">
        <f>CONCATENATE(D928," - ",E928,", ")</f>
        <v>MS iron scrap - 3.454, </v>
      </c>
      <c r="H928" s="309"/>
      <c r="I928" s="98" t="str">
        <f ca="1">IF(J927&gt;=3,(MID(I927,2,1)&amp;MID(I927,4,3)-K927),CELL("address",Z928))</f>
        <v>G929</v>
      </c>
      <c r="J928" s="98" t="str">
        <f ca="1">IF(J927&gt;=4,(MID(I928,1,1)&amp;MID(I928,2,3)+1),CELL("address",AA928))</f>
        <v>G930</v>
      </c>
      <c r="K928" s="98" t="str">
        <f ca="1">IF(J927&gt;=5,(MID(J928,1,1)&amp;MID(J928,2,3)+1),CELL("address",AB928))</f>
        <v>G931</v>
      </c>
      <c r="L928" s="98" t="str">
        <f ca="1">IF(J927&gt;=6,(MID(K928,1,1)&amp;MID(K928,2,3)+1),CELL("address",AC928))</f>
        <v>G932</v>
      </c>
      <c r="M928" s="98" t="str">
        <f ca="1">IF(J927&gt;=7,(MID(L928,1,1)&amp;MID(L928,2,3)+1),CELL("address",AD928))</f>
        <v>G933</v>
      </c>
      <c r="N928" s="98" t="str">
        <f ca="1">IF(J927&gt;=8,(MID(M928,1,1)&amp;MID(M928,2,3)+1),CELL("address",AE928))</f>
        <v>$AE$928</v>
      </c>
      <c r="O928" s="98" t="str">
        <f ca="1">IF(J927&gt;=9,(MID(N928,1,1)&amp;MID(N928,2,3)+1),CELL("address",AF928))</f>
        <v>$AF$928</v>
      </c>
      <c r="P928" s="98" t="str">
        <f ca="1">IF(J927&gt;=10,(MID(O928,1,1)&amp;MID(O928,2,3)+1),CELL("address",AG928))</f>
        <v>$AG$928</v>
      </c>
      <c r="Q928" s="98" t="str">
        <f ca="1">IF(J927&gt;=11,(MID(P928,1,1)&amp;MID(P928,2,3)+1),CELL("address",AH928))</f>
        <v>$AH$928</v>
      </c>
      <c r="R928" s="98" t="str">
        <f ca="1">IF(J927&gt;=12,(MID(Q928,1,1)&amp;MID(Q928,2,3)+1),CELL("address",AI928))</f>
        <v>$AI$928</v>
      </c>
    </row>
    <row r="929" spans="1:15" ht="15" customHeight="1">
      <c r="A929" s="306"/>
      <c r="B929" s="306"/>
      <c r="C929" s="308"/>
      <c r="D929" s="42" t="s">
        <v>61</v>
      </c>
      <c r="E929" s="69">
        <v>1.085</v>
      </c>
      <c r="F929" s="193"/>
      <c r="G929" s="92" t="str">
        <f>CONCATENATE(D929," - ",E929,", ")</f>
        <v>MS Rail scrap - 1.085, </v>
      </c>
      <c r="H929" s="98"/>
      <c r="I929" s="98"/>
      <c r="J929" s="98"/>
      <c r="K929" s="98"/>
      <c r="L929" s="98"/>
      <c r="M929" s="98"/>
      <c r="N929" s="98"/>
      <c r="O929" s="98"/>
    </row>
    <row r="930" spans="1:15" ht="15" customHeight="1">
      <c r="A930" s="306"/>
      <c r="B930" s="306"/>
      <c r="C930" s="308"/>
      <c r="D930" s="81" t="s">
        <v>60</v>
      </c>
      <c r="E930" s="58">
        <v>2.468</v>
      </c>
      <c r="F930" s="193"/>
      <c r="G930" s="92" t="str">
        <f>CONCATENATE(D930," - ",E930,", ")</f>
        <v>Transformer body scrap - 2.468, </v>
      </c>
      <c r="H930" s="98"/>
      <c r="I930" s="98"/>
      <c r="J930" s="98"/>
      <c r="K930" s="98"/>
      <c r="L930" s="98"/>
      <c r="M930" s="98"/>
      <c r="N930" s="98"/>
      <c r="O930" s="98"/>
    </row>
    <row r="931" spans="1:15" ht="15" customHeight="1">
      <c r="A931" s="306"/>
      <c r="B931" s="306"/>
      <c r="C931" s="308"/>
      <c r="D931" s="81" t="s">
        <v>197</v>
      </c>
      <c r="E931" s="58">
        <v>0.167</v>
      </c>
      <c r="F931" s="193"/>
      <c r="G931" s="92" t="str">
        <f>CONCATENATE(D931," - ",E931,", ")</f>
        <v>G.I. Scrap - 0.167, </v>
      </c>
      <c r="H931" s="98"/>
      <c r="I931" s="98"/>
      <c r="J931" s="98"/>
      <c r="K931" s="98"/>
      <c r="L931" s="98"/>
      <c r="M931" s="98"/>
      <c r="N931" s="98"/>
      <c r="O931" s="98"/>
    </row>
    <row r="932" spans="1:15" ht="15" customHeight="1">
      <c r="A932" s="306"/>
      <c r="B932" s="306"/>
      <c r="C932" s="308"/>
      <c r="D932" s="45" t="s">
        <v>64</v>
      </c>
      <c r="E932" s="58">
        <v>0.065</v>
      </c>
      <c r="F932" s="193"/>
      <c r="G932" s="92" t="str">
        <f>CONCATENATE(D932," - ",E932,", ")</f>
        <v>Teen Patra scrap - 0.065, </v>
      </c>
      <c r="H932" s="98"/>
      <c r="I932" s="98"/>
      <c r="J932" s="98"/>
      <c r="K932" s="98"/>
      <c r="L932" s="98"/>
      <c r="M932" s="98"/>
      <c r="N932" s="98"/>
      <c r="O932" s="98"/>
    </row>
    <row r="933" spans="1:15" ht="15" customHeight="1">
      <c r="A933" s="39"/>
      <c r="B933" s="41"/>
      <c r="C933" s="48"/>
      <c r="D933" s="38"/>
      <c r="E933" s="177"/>
      <c r="F933" s="98"/>
      <c r="G933" s="98"/>
      <c r="H933" s="98"/>
      <c r="I933" s="98"/>
      <c r="J933" s="98"/>
      <c r="K933" s="98"/>
      <c r="L933" s="98"/>
      <c r="M933" s="98"/>
      <c r="N933" s="98"/>
      <c r="O933" s="98"/>
    </row>
    <row r="934" spans="1:8" ht="18.75" customHeight="1">
      <c r="A934" s="53"/>
      <c r="B934" s="54"/>
      <c r="C934" s="54"/>
      <c r="D934" s="55"/>
      <c r="E934" s="161">
        <f>SUM(E936:E939)</f>
        <v>4.318</v>
      </c>
      <c r="H934" s="1"/>
    </row>
    <row r="935" spans="1:18" ht="15" customHeight="1">
      <c r="A935" s="306" t="s">
        <v>5</v>
      </c>
      <c r="B935" s="306"/>
      <c r="C935" s="40" t="s">
        <v>17</v>
      </c>
      <c r="D935" s="209" t="s">
        <v>18</v>
      </c>
      <c r="E935" s="39" t="s">
        <v>7</v>
      </c>
      <c r="G935" s="93" t="str">
        <f>CONCATENATE("Misc. Iron Scrap, Lying at ",C936,". Quantity in MT - ")</f>
        <v>Misc. Iron Scrap, Lying at OL Nabha. Quantity in MT - </v>
      </c>
      <c r="H935" s="309" t="str">
        <f ca="1">CONCATENATE(G935,G936,(INDIRECT(I936)),(INDIRECT(J936)),(INDIRECT(K936)),(INDIRECT(L936)),(INDIRECT(M936)),(INDIRECT(N936)),(INDIRECT(O936)),(INDIRECT(P936)),(INDIRECT(Q936)),(INDIRECT(R936)),".")</f>
        <v>Misc. Iron Scrap, Lying at OL Nabha. Quantity in MT - MS iron scrap - 2.442, Transformer body scrap - 1.375, Lamination scrap - 0.459, Teen Patra scrap - 0.042, .</v>
      </c>
      <c r="I935" s="98" t="str">
        <f aca="true" ca="1" t="array" ref="I935">CELL("address",INDEX(G935:G970,MATCH(TRUE,ISBLANK(G935:G970),0)))</f>
        <v>$G$940</v>
      </c>
      <c r="J935" s="98">
        <f aca="true" t="array" ref="J935">MATCH(TRUE,ISBLANK(G935:G970),0)</f>
        <v>6</v>
      </c>
      <c r="K935" s="98">
        <f>J935-3</f>
        <v>3</v>
      </c>
      <c r="L935" s="98"/>
      <c r="M935" s="98"/>
      <c r="N935" s="98"/>
      <c r="O935" s="98"/>
      <c r="P935" s="98"/>
      <c r="Q935" s="98"/>
      <c r="R935" s="98"/>
    </row>
    <row r="936" spans="1:18" ht="15" customHeight="1">
      <c r="A936" s="306" t="s">
        <v>444</v>
      </c>
      <c r="B936" s="306"/>
      <c r="C936" s="308" t="s">
        <v>104</v>
      </c>
      <c r="D936" s="42" t="s">
        <v>29</v>
      </c>
      <c r="E936" s="69">
        <v>2.442</v>
      </c>
      <c r="G936" s="92" t="str">
        <f>CONCATENATE(D936," - ",E936,", ")</f>
        <v>MS iron scrap - 2.442, </v>
      </c>
      <c r="H936" s="309"/>
      <c r="I936" s="98" t="str">
        <f ca="1">IF(J935&gt;=3,(MID(I935,2,1)&amp;MID(I935,4,3)-K935),CELL("address",Z936))</f>
        <v>G937</v>
      </c>
      <c r="J936" s="98" t="str">
        <f ca="1">IF(J935&gt;=4,(MID(I936,1,1)&amp;MID(I936,2,3)+1),CELL("address",AA936))</f>
        <v>G938</v>
      </c>
      <c r="K936" s="98" t="str">
        <f ca="1">IF(J935&gt;=5,(MID(J936,1,1)&amp;MID(J936,2,3)+1),CELL("address",AB936))</f>
        <v>G939</v>
      </c>
      <c r="L936" s="98" t="str">
        <f ca="1">IF(J935&gt;=6,(MID(K936,1,1)&amp;MID(K936,2,3)+1),CELL("address",AC936))</f>
        <v>G940</v>
      </c>
      <c r="M936" s="98" t="str">
        <f ca="1">IF(J935&gt;=7,(MID(L936,1,1)&amp;MID(L936,2,3)+1),CELL("address",AD936))</f>
        <v>$AD$936</v>
      </c>
      <c r="N936" s="98" t="str">
        <f ca="1">IF(J935&gt;=8,(MID(M936,1,1)&amp;MID(M936,2,3)+1),CELL("address",AE936))</f>
        <v>$AE$936</v>
      </c>
      <c r="O936" s="98" t="str">
        <f ca="1">IF(J935&gt;=9,(MID(N936,1,1)&amp;MID(N936,2,3)+1),CELL("address",AF936))</f>
        <v>$AF$936</v>
      </c>
      <c r="P936" s="98" t="str">
        <f ca="1">IF(J935&gt;=10,(MID(O936,1,1)&amp;MID(O936,2,3)+1),CELL("address",AG936))</f>
        <v>$AG$936</v>
      </c>
      <c r="Q936" s="98" t="str">
        <f ca="1">IF(J935&gt;=11,(MID(P936,1,1)&amp;MID(P936,2,3)+1),CELL("address",AH936))</f>
        <v>$AH$936</v>
      </c>
      <c r="R936" s="98" t="str">
        <f ca="1">IF(J935&gt;=12,(MID(Q936,1,1)&amp;MID(Q936,2,3)+1),CELL("address",AI936))</f>
        <v>$AI$936</v>
      </c>
    </row>
    <row r="937" spans="1:8" ht="15" customHeight="1">
      <c r="A937" s="306"/>
      <c r="B937" s="306"/>
      <c r="C937" s="308"/>
      <c r="D937" s="81" t="s">
        <v>60</v>
      </c>
      <c r="E937" s="69">
        <v>1.375</v>
      </c>
      <c r="G937" s="92" t="str">
        <f>CONCATENATE(D937," - ",E937,", ")</f>
        <v>Transformer body scrap - 1.375, </v>
      </c>
      <c r="H937" s="1"/>
    </row>
    <row r="938" spans="1:8" ht="15" customHeight="1">
      <c r="A938" s="306"/>
      <c r="B938" s="306"/>
      <c r="C938" s="308"/>
      <c r="D938" s="45" t="s">
        <v>443</v>
      </c>
      <c r="E938" s="58">
        <v>0.459</v>
      </c>
      <c r="G938" s="92" t="str">
        <f>CONCATENATE(D938," - ",E938,", ")</f>
        <v>Lamination scrap - 0.459, </v>
      </c>
      <c r="H938" s="1"/>
    </row>
    <row r="939" spans="1:8" ht="15" customHeight="1">
      <c r="A939" s="306"/>
      <c r="B939" s="306"/>
      <c r="C939" s="308"/>
      <c r="D939" s="45" t="s">
        <v>64</v>
      </c>
      <c r="E939" s="58">
        <v>0.042</v>
      </c>
      <c r="G939" s="92" t="str">
        <f>CONCATENATE(D939," - ",E939,", ")</f>
        <v>Teen Patra scrap - 0.042, </v>
      </c>
      <c r="H939" s="1"/>
    </row>
    <row r="940" spans="1:8" ht="15" customHeight="1">
      <c r="A940" s="202"/>
      <c r="B940" s="204"/>
      <c r="C940" s="48"/>
      <c r="D940" s="38"/>
      <c r="E940" s="177"/>
      <c r="G940" s="200"/>
      <c r="H940" s="1"/>
    </row>
    <row r="941" spans="1:8" ht="15" customHeight="1">
      <c r="A941" s="53"/>
      <c r="B941" s="54"/>
      <c r="C941" s="54"/>
      <c r="D941" s="55"/>
      <c r="E941" s="161">
        <f>SUM(E943:E943)</f>
        <v>19</v>
      </c>
      <c r="G941" s="200"/>
      <c r="H941" s="1"/>
    </row>
    <row r="942" spans="1:18" ht="15" customHeight="1">
      <c r="A942" s="306" t="s">
        <v>5</v>
      </c>
      <c r="B942" s="306"/>
      <c r="C942" s="40" t="s">
        <v>17</v>
      </c>
      <c r="D942" s="209" t="s">
        <v>18</v>
      </c>
      <c r="E942" s="39" t="s">
        <v>7</v>
      </c>
      <c r="G942" s="93" t="str">
        <f>CONCATENATE("Misc. Iron Scrap, Lying at ",C943,". Quantity in MT - ")</f>
        <v>Misc. Iron Scrap, Lying at S &amp; T Store Bathinda. Quantity in MT - </v>
      </c>
      <c r="H942" s="309" t="str">
        <f ca="1">CONCATENATE(G942,G943,(INDIRECT(I943)),(INDIRECT(J943)),(INDIRECT(K943)),(INDIRECT(L943)),(INDIRECT(M943)),(INDIRECT(N943)),(INDIRECT(O943)),(INDIRECT(P943)),(INDIRECT(Q943)),(INDIRECT(R943)),".")</f>
        <v>Misc. Iron Scrap, Lying at S &amp; T Store Bathinda. Quantity in MT - MS iron scrap - 19, .</v>
      </c>
      <c r="I942" s="98" t="str">
        <f aca="true" ca="1" t="array" ref="I942">CELL("address",INDEX(G942:G977,MATCH(TRUE,ISBLANK(G942:G977),0)))</f>
        <v>$G$944</v>
      </c>
      <c r="J942" s="98">
        <f aca="true" t="array" ref="J942">MATCH(TRUE,ISBLANK(G942:G977),0)</f>
        <v>3</v>
      </c>
      <c r="K942" s="98">
        <f>J942-3</f>
        <v>0</v>
      </c>
      <c r="L942" s="98"/>
      <c r="M942" s="98"/>
      <c r="N942" s="98"/>
      <c r="O942" s="98"/>
      <c r="P942" s="98"/>
      <c r="Q942" s="98"/>
      <c r="R942" s="98"/>
    </row>
    <row r="943" spans="1:18" ht="15" customHeight="1">
      <c r="A943" s="306" t="s">
        <v>501</v>
      </c>
      <c r="B943" s="306"/>
      <c r="C943" s="209" t="s">
        <v>57</v>
      </c>
      <c r="D943" s="42" t="s">
        <v>29</v>
      </c>
      <c r="E943" s="69">
        <v>19</v>
      </c>
      <c r="G943" s="92" t="str">
        <f>CONCATENATE(D943," - ",E943,", ")</f>
        <v>MS iron scrap - 19, </v>
      </c>
      <c r="H943" s="309"/>
      <c r="I943" s="98" t="str">
        <f ca="1">IF(J942&gt;=3,(MID(I942,2,1)&amp;MID(I942,4,3)-K942),CELL("address",Z943))</f>
        <v>G944</v>
      </c>
      <c r="J943" s="98" t="str">
        <f ca="1">IF(J942&gt;=4,(MID(I943,1,1)&amp;MID(I943,2,3)+1),CELL("address",AA943))</f>
        <v>$AA$943</v>
      </c>
      <c r="K943" s="98" t="str">
        <f ca="1">IF(J942&gt;=5,(MID(J943,1,1)&amp;MID(J943,2,3)+1),CELL("address",AB943))</f>
        <v>$AB$943</v>
      </c>
      <c r="L943" s="98" t="str">
        <f ca="1">IF(J942&gt;=6,(MID(K943,1,1)&amp;MID(K943,2,3)+1),CELL("address",AC943))</f>
        <v>$AC$943</v>
      </c>
      <c r="M943" s="98" t="str">
        <f ca="1">IF(J942&gt;=7,(MID(L943,1,1)&amp;MID(L943,2,3)+1),CELL("address",AD943))</f>
        <v>$AD$943</v>
      </c>
      <c r="N943" s="98" t="str">
        <f ca="1">IF(J942&gt;=8,(MID(M943,1,1)&amp;MID(M943,2,3)+1),CELL("address",AE943))</f>
        <v>$AE$943</v>
      </c>
      <c r="O943" s="98" t="str">
        <f ca="1">IF(J942&gt;=9,(MID(N943,1,1)&amp;MID(N943,2,3)+1),CELL("address",AF943))</f>
        <v>$AF$943</v>
      </c>
      <c r="P943" s="98" t="str">
        <f ca="1">IF(J942&gt;=10,(MID(O943,1,1)&amp;MID(O943,2,3)+1),CELL("address",AG943))</f>
        <v>$AG$943</v>
      </c>
      <c r="Q943" s="98" t="str">
        <f ca="1">IF(J942&gt;=11,(MID(P943,1,1)&amp;MID(P943,2,3)+1),CELL("address",AH943))</f>
        <v>$AH$943</v>
      </c>
      <c r="R943" s="98" t="str">
        <f ca="1">IF(J942&gt;=12,(MID(Q943,1,1)&amp;MID(Q943,2,3)+1),CELL("address",AI943))</f>
        <v>$AI$943</v>
      </c>
    </row>
    <row r="944" spans="1:18" ht="15" customHeight="1">
      <c r="A944" s="39"/>
      <c r="B944" s="41"/>
      <c r="C944" s="48"/>
      <c r="D944" s="41"/>
      <c r="E944" s="58"/>
      <c r="G944" s="200"/>
      <c r="H944" s="235"/>
      <c r="I944" s="98"/>
      <c r="J944" s="98"/>
      <c r="K944" s="98"/>
      <c r="L944" s="98"/>
      <c r="M944" s="98"/>
      <c r="N944" s="98"/>
      <c r="O944" s="98"/>
      <c r="P944" s="98"/>
      <c r="Q944" s="98"/>
      <c r="R944" s="98"/>
    </row>
    <row r="945" spans="1:18" ht="15" customHeight="1">
      <c r="A945" s="53"/>
      <c r="B945" s="54"/>
      <c r="C945" s="54"/>
      <c r="D945" s="55"/>
      <c r="E945" s="161">
        <f>SUM(E947:E948)</f>
        <v>105</v>
      </c>
      <c r="G945" s="200"/>
      <c r="H945" s="235"/>
      <c r="I945" s="98"/>
      <c r="J945" s="98"/>
      <c r="K945" s="98"/>
      <c r="L945" s="98"/>
      <c r="M945" s="98"/>
      <c r="N945" s="98"/>
      <c r="O945" s="98"/>
      <c r="P945" s="98"/>
      <c r="Q945" s="98"/>
      <c r="R945" s="98"/>
    </row>
    <row r="946" spans="1:18" ht="15" customHeight="1">
      <c r="A946" s="306" t="s">
        <v>5</v>
      </c>
      <c r="B946" s="306"/>
      <c r="C946" s="40" t="s">
        <v>17</v>
      </c>
      <c r="D946" s="221" t="s">
        <v>18</v>
      </c>
      <c r="E946" s="39" t="s">
        <v>69</v>
      </c>
      <c r="G946" s="93" t="str">
        <f>CONCATENATE("U/S Typewriters and U/S Ceiling Fans, Lying at ",C947,". Quantity in No - ")</f>
        <v>U/S Typewriters and U/S Ceiling Fans, Lying at CS Patiala. Quantity in No - </v>
      </c>
      <c r="H946" s="309" t="str">
        <f ca="1">CONCATENATE(G946,G947,(INDIRECT(I947)),(INDIRECT(J947)),(INDIRECT(K947)),(INDIRECT(L947)),(INDIRECT(M947)),(INDIRECT(N947)),(INDIRECT(O947)),(INDIRECT(P947)),(INDIRECT(Q947)),(INDIRECT(R947)),".")</f>
        <v>U/S Typewriters and U/S Ceiling Fans, Lying at CS Patiala. Quantity in No - U/S Typewriters - 64, U/S Ceiling Fans - 41, .</v>
      </c>
      <c r="I946" s="98" t="str">
        <f aca="true" ca="1" t="array" ref="I946">CELL("address",INDEX(G946:G981,MATCH(TRUE,ISBLANK(G946:G981),0)))</f>
        <v>$G$949</v>
      </c>
      <c r="J946" s="98">
        <f aca="true" t="array" ref="J946">MATCH(TRUE,ISBLANK(G946:G981),0)</f>
        <v>4</v>
      </c>
      <c r="K946" s="98">
        <f>J946-3</f>
        <v>1</v>
      </c>
      <c r="L946" s="98"/>
      <c r="M946" s="98"/>
      <c r="N946" s="98"/>
      <c r="O946" s="98"/>
      <c r="P946" s="98"/>
      <c r="Q946" s="98"/>
      <c r="R946" s="98"/>
    </row>
    <row r="947" spans="1:18" ht="15" customHeight="1">
      <c r="A947" s="306" t="s">
        <v>547</v>
      </c>
      <c r="B947" s="306"/>
      <c r="C947" s="308" t="s">
        <v>52</v>
      </c>
      <c r="D947" s="40" t="s">
        <v>545</v>
      </c>
      <c r="E947" s="58">
        <v>64</v>
      </c>
      <c r="G947" s="92" t="str">
        <f>CONCATENATE(D947," - ",E947,", ")</f>
        <v>U/S Typewriters - 64, </v>
      </c>
      <c r="H947" s="309"/>
      <c r="I947" s="98" t="str">
        <f ca="1">IF(J946&gt;=3,(MID(I946,2,1)&amp;MID(I946,4,3)-K946),CELL("address",Z947))</f>
        <v>G948</v>
      </c>
      <c r="J947" s="98" t="str">
        <f ca="1">IF(J946&gt;=4,(MID(I947,1,1)&amp;MID(I947,2,3)+1),CELL("address",AA947))</f>
        <v>G949</v>
      </c>
      <c r="K947" s="98" t="str">
        <f ca="1">IF(J946&gt;=5,(MID(J947,1,1)&amp;MID(J947,2,3)+1),CELL("address",AB947))</f>
        <v>$AB$947</v>
      </c>
      <c r="L947" s="98" t="str">
        <f ca="1">IF(J946&gt;=6,(MID(K947,1,1)&amp;MID(K947,2,3)+1),CELL("address",AC947))</f>
        <v>$AC$947</v>
      </c>
      <c r="M947" s="98" t="str">
        <f ca="1">IF(J946&gt;=7,(MID(L947,1,1)&amp;MID(L947,2,3)+1),CELL("address",AD947))</f>
        <v>$AD$947</v>
      </c>
      <c r="N947" s="98" t="str">
        <f ca="1">IF(J946&gt;=8,(MID(M947,1,1)&amp;MID(M947,2,3)+1),CELL("address",AE947))</f>
        <v>$AE$947</v>
      </c>
      <c r="O947" s="98" t="str">
        <f ca="1">IF(J946&gt;=9,(MID(N947,1,1)&amp;MID(N947,2,3)+1),CELL("address",AF947))</f>
        <v>$AF$947</v>
      </c>
      <c r="P947" s="98" t="str">
        <f ca="1">IF(J946&gt;=10,(MID(O947,1,1)&amp;MID(O947,2,3)+1),CELL("address",AG947))</f>
        <v>$AG$947</v>
      </c>
      <c r="Q947" s="98" t="str">
        <f ca="1">IF(J946&gt;=11,(MID(P947,1,1)&amp;MID(P947,2,3)+1),CELL("address",AH947))</f>
        <v>$AH$947</v>
      </c>
      <c r="R947" s="98" t="str">
        <f ca="1">IF(J946&gt;=12,(MID(Q947,1,1)&amp;MID(Q947,2,3)+1),CELL("address",AI947))</f>
        <v>$AI$947</v>
      </c>
    </row>
    <row r="948" spans="1:18" ht="15" customHeight="1">
      <c r="A948" s="306"/>
      <c r="B948" s="306"/>
      <c r="C948" s="308"/>
      <c r="D948" s="40" t="s">
        <v>550</v>
      </c>
      <c r="E948" s="58">
        <v>41</v>
      </c>
      <c r="G948" s="92" t="str">
        <f>CONCATENATE(D948," - ",E948,", ")</f>
        <v>U/S Ceiling Fans - 41, </v>
      </c>
      <c r="H948" s="235"/>
      <c r="I948" s="98"/>
      <c r="J948" s="98"/>
      <c r="K948" s="98"/>
      <c r="L948" s="98"/>
      <c r="M948" s="98"/>
      <c r="N948" s="98"/>
      <c r="O948" s="98"/>
      <c r="P948" s="98"/>
      <c r="Q948" s="98"/>
      <c r="R948" s="98"/>
    </row>
    <row r="949" spans="1:18" ht="15" customHeight="1">
      <c r="A949" s="39"/>
      <c r="B949" s="41"/>
      <c r="C949" s="48"/>
      <c r="D949" s="41"/>
      <c r="E949" s="58"/>
      <c r="G949" s="200"/>
      <c r="H949" s="235"/>
      <c r="I949" s="98"/>
      <c r="J949" s="98"/>
      <c r="K949" s="98"/>
      <c r="L949" s="98"/>
      <c r="M949" s="98"/>
      <c r="N949" s="98"/>
      <c r="O949" s="98"/>
      <c r="P949" s="98"/>
      <c r="Q949" s="98"/>
      <c r="R949" s="98"/>
    </row>
    <row r="950" spans="1:18" ht="15" customHeight="1">
      <c r="A950" s="53"/>
      <c r="B950" s="54"/>
      <c r="C950" s="54"/>
      <c r="D950" s="56"/>
      <c r="E950" s="57">
        <f>SUM(E952:E952)</f>
        <v>1</v>
      </c>
      <c r="G950" s="200"/>
      <c r="H950" s="235"/>
      <c r="I950" s="98"/>
      <c r="J950" s="98"/>
      <c r="K950" s="98"/>
      <c r="L950" s="98"/>
      <c r="M950" s="98"/>
      <c r="N950" s="98"/>
      <c r="O950" s="98"/>
      <c r="P950" s="98"/>
      <c r="Q950" s="98"/>
      <c r="R950" s="98"/>
    </row>
    <row r="951" spans="1:18" ht="15" customHeight="1">
      <c r="A951" s="313" t="s">
        <v>5</v>
      </c>
      <c r="B951" s="313"/>
      <c r="C951" s="70" t="s">
        <v>17</v>
      </c>
      <c r="D951" s="248" t="s">
        <v>18</v>
      </c>
      <c r="E951" s="39" t="s">
        <v>69</v>
      </c>
      <c r="G951" s="93" t="str">
        <f>CONCATENATE("U/S Tyres, Lying at ",C952,". Quantity in No - ")</f>
        <v>U/S Tyres, Lying at OL Patran. Quantity in No - </v>
      </c>
      <c r="H951" s="309" t="str">
        <f ca="1">CONCATENATE(G951,G952,(INDIRECT(I952)),(INDIRECT(J952)),(INDIRECT(K952)),(INDIRECT(L952)),(INDIRECT(M952)),(INDIRECT(N952)),(INDIRECT(O952)),(INDIRECT(P952)),(INDIRECT(Q952)),(INDIRECT(R952)),".")</f>
        <v>U/S Tyres, Lying at OL Patran. Quantity in No - U/S Tyres - 1, .</v>
      </c>
      <c r="I951" s="98" t="str">
        <f aca="true" ca="1" t="array" ref="I951">CELL("address",INDEX(G951:G986,MATCH(TRUE,ISBLANK(G951:G986),0)))</f>
        <v>$G$953</v>
      </c>
      <c r="J951" s="98">
        <f aca="true" t="array" ref="J951">MATCH(TRUE,ISBLANK(G951:G986),0)</f>
        <v>3</v>
      </c>
      <c r="K951" s="98">
        <f>J951-3</f>
        <v>0</v>
      </c>
      <c r="L951" s="98"/>
      <c r="M951" s="98"/>
      <c r="N951" s="98"/>
      <c r="O951" s="98"/>
      <c r="P951" s="98"/>
      <c r="Q951" s="98"/>
      <c r="R951" s="98"/>
    </row>
    <row r="952" spans="1:18" ht="15" customHeight="1">
      <c r="A952" s="306" t="s">
        <v>572</v>
      </c>
      <c r="B952" s="306"/>
      <c r="C952" s="248" t="s">
        <v>102</v>
      </c>
      <c r="D952" s="42" t="s">
        <v>336</v>
      </c>
      <c r="E952" s="69">
        <v>1</v>
      </c>
      <c r="G952" s="92" t="str">
        <f>CONCATENATE(D952," - ",E952,", ")</f>
        <v>U/S Tyres - 1, </v>
      </c>
      <c r="H952" s="309"/>
      <c r="I952" s="98" t="str">
        <f ca="1">IF(J951&gt;=3,(MID(I951,2,1)&amp;MID(I951,4,3)-K951),CELL("address",Z952))</f>
        <v>G953</v>
      </c>
      <c r="J952" s="98" t="str">
        <f ca="1">IF(J951&gt;=4,(MID(I952,1,1)&amp;MID(I952,2,3)+1),CELL("address",AA952))</f>
        <v>$AA$952</v>
      </c>
      <c r="K952" s="98" t="str">
        <f ca="1">IF(J951&gt;=5,(MID(J952,1,1)&amp;MID(J952,2,3)+1),CELL("address",AB952))</f>
        <v>$AB$952</v>
      </c>
      <c r="L952" s="98" t="str">
        <f ca="1">IF(J951&gt;=6,(MID(K952,1,1)&amp;MID(K952,2,3)+1),CELL("address",AC952))</f>
        <v>$AC$952</v>
      </c>
      <c r="M952" s="98" t="str">
        <f ca="1">IF(J951&gt;=7,(MID(L952,1,1)&amp;MID(L952,2,3)+1),CELL("address",AD952))</f>
        <v>$AD$952</v>
      </c>
      <c r="N952" s="98" t="str">
        <f ca="1">IF(J951&gt;=8,(MID(M952,1,1)&amp;MID(M952,2,3)+1),CELL("address",AE952))</f>
        <v>$AE$952</v>
      </c>
      <c r="O952" s="98" t="str">
        <f ca="1">IF(J951&gt;=9,(MID(N952,1,1)&amp;MID(N952,2,3)+1),CELL("address",AF952))</f>
        <v>$AF$952</v>
      </c>
      <c r="P952" s="98" t="str">
        <f ca="1">IF(J951&gt;=10,(MID(O952,1,1)&amp;MID(O952,2,3)+1),CELL("address",AG952))</f>
        <v>$AG$952</v>
      </c>
      <c r="Q952" s="98" t="str">
        <f ca="1">IF(J951&gt;=11,(MID(P952,1,1)&amp;MID(P952,2,3)+1),CELL("address",AH952))</f>
        <v>$AH$952</v>
      </c>
      <c r="R952" s="98" t="str">
        <f ca="1">IF(J951&gt;=12,(MID(Q952,1,1)&amp;MID(Q952,2,3)+1),CELL("address",AI952))</f>
        <v>$AI$952</v>
      </c>
    </row>
    <row r="953" spans="1:18" ht="15" customHeight="1">
      <c r="A953" s="39"/>
      <c r="B953" s="41"/>
      <c r="C953" s="48"/>
      <c r="D953" s="250"/>
      <c r="E953" s="177"/>
      <c r="G953" s="200"/>
      <c r="H953" s="235"/>
      <c r="I953" s="98"/>
      <c r="J953" s="98"/>
      <c r="K953" s="98"/>
      <c r="L953" s="98"/>
      <c r="M953" s="98"/>
      <c r="N953" s="98"/>
      <c r="O953" s="98"/>
      <c r="P953" s="98"/>
      <c r="Q953" s="98"/>
      <c r="R953" s="98"/>
    </row>
    <row r="954" spans="1:18" ht="15" customHeight="1">
      <c r="A954" s="53"/>
      <c r="B954" s="54"/>
      <c r="C954" s="54"/>
      <c r="D954" s="55"/>
      <c r="E954" s="161">
        <f>SUM(E956:E956)</f>
        <v>0.661</v>
      </c>
      <c r="G954" s="200"/>
      <c r="H954" s="235"/>
      <c r="I954" s="98"/>
      <c r="J954" s="98"/>
      <c r="K954" s="98"/>
      <c r="L954" s="98"/>
      <c r="M954" s="98"/>
      <c r="N954" s="98"/>
      <c r="O954" s="98"/>
      <c r="P954" s="98"/>
      <c r="Q954" s="98"/>
      <c r="R954" s="98"/>
    </row>
    <row r="955" spans="1:18" ht="15" customHeight="1">
      <c r="A955" s="306" t="s">
        <v>5</v>
      </c>
      <c r="B955" s="306"/>
      <c r="C955" s="40" t="s">
        <v>17</v>
      </c>
      <c r="D955" s="251" t="s">
        <v>18</v>
      </c>
      <c r="E955" s="39" t="s">
        <v>7</v>
      </c>
      <c r="G955" s="93" t="str">
        <f>CONCATENATE("Misc Iron Scrap, Lying at ",C956,". Quantity in No - ")</f>
        <v>Misc Iron Scrap, Lying at OL Mansa. Quantity in No - </v>
      </c>
      <c r="H955" s="309" t="str">
        <f ca="1">CONCATENATE(G955,G956,(INDIRECT(I956)),(INDIRECT(J956)),(INDIRECT(K956)),(INDIRECT(L956)),(INDIRECT(M956)),(INDIRECT(N956)),(INDIRECT(O956)),(INDIRECT(P956)),(INDIRECT(Q956)),(INDIRECT(R956)),".")</f>
        <v>Misc Iron Scrap, Lying at OL Mansa. Quantity in No - MS iron scrap - 0.661, .</v>
      </c>
      <c r="I955" s="98" t="str">
        <f aca="true" ca="1" t="array" ref="I955">CELL("address",INDEX(G955:G990,MATCH(TRUE,ISBLANK(G955:G990),0)))</f>
        <v>$G$957</v>
      </c>
      <c r="J955" s="98">
        <f aca="true" t="array" ref="J955">MATCH(TRUE,ISBLANK(G955:G990),0)</f>
        <v>3</v>
      </c>
      <c r="K955" s="98">
        <f>J955-3</f>
        <v>0</v>
      </c>
      <c r="L955" s="98"/>
      <c r="M955" s="98"/>
      <c r="N955" s="98"/>
      <c r="O955" s="98"/>
      <c r="P955" s="98"/>
      <c r="Q955" s="98"/>
      <c r="R955" s="98"/>
    </row>
    <row r="956" spans="1:18" ht="15" customHeight="1">
      <c r="A956" s="306" t="s">
        <v>580</v>
      </c>
      <c r="B956" s="306"/>
      <c r="C956" s="251" t="s">
        <v>59</v>
      </c>
      <c r="D956" s="42" t="s">
        <v>29</v>
      </c>
      <c r="E956" s="69">
        <v>0.661</v>
      </c>
      <c r="G956" s="92" t="str">
        <f>CONCATENATE(D956," - ",E956,", ")</f>
        <v>MS iron scrap - 0.661, </v>
      </c>
      <c r="H956" s="309"/>
      <c r="I956" s="98" t="str">
        <f ca="1">IF(J955&gt;=3,(MID(I955,2,1)&amp;MID(I955,4,3)-K955),CELL("address",Z956))</f>
        <v>G957</v>
      </c>
      <c r="J956" s="98" t="str">
        <f ca="1">IF(J955&gt;=4,(MID(I956,1,1)&amp;MID(I956,2,3)+1),CELL("address",AA956))</f>
        <v>$AA$956</v>
      </c>
      <c r="K956" s="98" t="str">
        <f ca="1">IF(J955&gt;=5,(MID(J956,1,1)&amp;MID(J956,2,3)+1),CELL("address",AB956))</f>
        <v>$AB$956</v>
      </c>
      <c r="L956" s="98" t="str">
        <f ca="1">IF(J955&gt;=6,(MID(K956,1,1)&amp;MID(K956,2,3)+1),CELL("address",AC956))</f>
        <v>$AC$956</v>
      </c>
      <c r="M956" s="98" t="str">
        <f ca="1">IF(J955&gt;=7,(MID(L956,1,1)&amp;MID(L956,2,3)+1),CELL("address",AD956))</f>
        <v>$AD$956</v>
      </c>
      <c r="N956" s="98" t="str">
        <f ca="1">IF(J955&gt;=8,(MID(M956,1,1)&amp;MID(M956,2,3)+1),CELL("address",AE956))</f>
        <v>$AE$956</v>
      </c>
      <c r="O956" s="98" t="str">
        <f ca="1">IF(J955&gt;=9,(MID(N956,1,1)&amp;MID(N956,2,3)+1),CELL("address",AF956))</f>
        <v>$AF$956</v>
      </c>
      <c r="P956" s="98" t="str">
        <f ca="1">IF(J955&gt;=10,(MID(O956,1,1)&amp;MID(O956,2,3)+1),CELL("address",AG956))</f>
        <v>$AG$956</v>
      </c>
      <c r="Q956" s="98" t="str">
        <f ca="1">IF(J955&gt;=11,(MID(P956,1,1)&amp;MID(P956,2,3)+1),CELL("address",AH956))</f>
        <v>$AH$956</v>
      </c>
      <c r="R956" s="98" t="str">
        <f ca="1">IF(J955&gt;=12,(MID(Q956,1,1)&amp;MID(Q956,2,3)+1),CELL("address",AI956))</f>
        <v>$AI$956</v>
      </c>
    </row>
    <row r="957" spans="1:8" ht="15" customHeight="1">
      <c r="A957" s="39"/>
      <c r="B957" s="41"/>
      <c r="C957" s="48"/>
      <c r="D957" s="38"/>
      <c r="E957" s="177"/>
      <c r="H957" s="1"/>
    </row>
    <row r="958" spans="1:8" ht="15" customHeight="1">
      <c r="A958" s="373" t="s">
        <v>285</v>
      </c>
      <c r="B958" s="374"/>
      <c r="C958" s="374"/>
      <c r="D958" s="374"/>
      <c r="E958" s="374"/>
      <c r="H958" s="1"/>
    </row>
    <row r="959" spans="1:8" ht="15" customHeight="1">
      <c r="A959" s="314" t="s">
        <v>5</v>
      </c>
      <c r="B959" s="315"/>
      <c r="C959" s="314" t="s">
        <v>6</v>
      </c>
      <c r="D959" s="315"/>
      <c r="E959" s="210" t="s">
        <v>7</v>
      </c>
      <c r="H959" s="93"/>
    </row>
    <row r="960" spans="1:8" ht="15" customHeight="1">
      <c r="A960" s="306" t="s">
        <v>124</v>
      </c>
      <c r="B960" s="306"/>
      <c r="C960" s="320" t="s">
        <v>112</v>
      </c>
      <c r="D960" s="320"/>
      <c r="E960" s="187">
        <v>1.353</v>
      </c>
      <c r="H960" s="93" t="str">
        <f aca="true" t="shared" si="6" ref="H960:H976">CONCATENATE("Wooden scrap (without iron parts), Lying at ",C960,". Quantity in MT - ",E960,)</f>
        <v>Wooden scrap (without iron parts), Lying at OL Fazilka. Quantity in MT - 1.353</v>
      </c>
    </row>
    <row r="961" spans="1:8" ht="15" customHeight="1">
      <c r="A961" s="306" t="s">
        <v>127</v>
      </c>
      <c r="B961" s="306"/>
      <c r="C961" s="306" t="s">
        <v>95</v>
      </c>
      <c r="D961" s="306"/>
      <c r="E961" s="187">
        <v>0.421</v>
      </c>
      <c r="H961" s="93" t="str">
        <f t="shared" si="6"/>
        <v>Wooden scrap (without iron parts), Lying at CS Malout. Quantity in MT - 0.421</v>
      </c>
    </row>
    <row r="962" spans="1:8" ht="15" customHeight="1">
      <c r="A962" s="306" t="s">
        <v>128</v>
      </c>
      <c r="B962" s="306"/>
      <c r="C962" s="320" t="s">
        <v>102</v>
      </c>
      <c r="D962" s="320"/>
      <c r="E962" s="69">
        <v>0.597</v>
      </c>
      <c r="H962" s="93" t="str">
        <f t="shared" si="6"/>
        <v>Wooden scrap (without iron parts), Lying at OL Patran. Quantity in MT - 0.597</v>
      </c>
    </row>
    <row r="963" spans="1:8" ht="15" customHeight="1">
      <c r="A963" s="306" t="s">
        <v>129</v>
      </c>
      <c r="B963" s="306"/>
      <c r="C963" s="306" t="s">
        <v>43</v>
      </c>
      <c r="D963" s="306"/>
      <c r="E963" s="69">
        <v>5.225</v>
      </c>
      <c r="H963" s="93" t="str">
        <f t="shared" si="6"/>
        <v>Wooden scrap (without iron parts), Lying at CS Kotkapura. Quantity in MT - 5.225</v>
      </c>
    </row>
    <row r="964" spans="1:8" ht="15" customHeight="1">
      <c r="A964" s="306" t="s">
        <v>130</v>
      </c>
      <c r="B964" s="306"/>
      <c r="C964" s="306" t="s">
        <v>79</v>
      </c>
      <c r="D964" s="306"/>
      <c r="E964" s="69">
        <v>2.916</v>
      </c>
      <c r="H964" s="93" t="str">
        <f t="shared" si="6"/>
        <v>Wooden scrap (without iron parts), Lying at CS Sangrur. Quantity in MT - 2.916</v>
      </c>
    </row>
    <row r="965" spans="1:8" ht="15" customHeight="1">
      <c r="A965" s="306" t="s">
        <v>131</v>
      </c>
      <c r="B965" s="306"/>
      <c r="C965" s="320" t="s">
        <v>126</v>
      </c>
      <c r="D965" s="320"/>
      <c r="E965" s="69">
        <v>1.69</v>
      </c>
      <c r="H965" s="93" t="str">
        <f t="shared" si="6"/>
        <v>Wooden scrap (without iron parts), Lying at OL Malerkotla. Quantity in MT - 1.69</v>
      </c>
    </row>
    <row r="966" spans="1:8" ht="15" customHeight="1">
      <c r="A966" s="306" t="s">
        <v>137</v>
      </c>
      <c r="B966" s="306"/>
      <c r="C966" s="320" t="s">
        <v>100</v>
      </c>
      <c r="D966" s="320"/>
      <c r="E966" s="69">
        <v>0.612</v>
      </c>
      <c r="H966" s="93" t="str">
        <f t="shared" si="6"/>
        <v>Wooden scrap (without iron parts), Lying at OL Bhagta Bhai Ka. Quantity in MT - 0.612</v>
      </c>
    </row>
    <row r="967" spans="1:8" ht="15" customHeight="1">
      <c r="A967" s="306" t="s">
        <v>138</v>
      </c>
      <c r="B967" s="306"/>
      <c r="C967" s="320" t="s">
        <v>59</v>
      </c>
      <c r="D967" s="320"/>
      <c r="E967" s="69">
        <v>0.4</v>
      </c>
      <c r="H967" s="93" t="str">
        <f t="shared" si="6"/>
        <v>Wooden scrap (without iron parts), Lying at OL Mansa. Quantity in MT - 0.4</v>
      </c>
    </row>
    <row r="968" spans="1:8" ht="15" customHeight="1">
      <c r="A968" s="306" t="s">
        <v>139</v>
      </c>
      <c r="B968" s="306"/>
      <c r="C968" s="306" t="s">
        <v>99</v>
      </c>
      <c r="D968" s="306"/>
      <c r="E968" s="69">
        <v>4.27</v>
      </c>
      <c r="H968" s="93" t="str">
        <f t="shared" si="6"/>
        <v>Wooden scrap (without iron parts), Lying at CS Ferozepur. Quantity in MT - 4.27</v>
      </c>
    </row>
    <row r="969" spans="1:8" ht="15" customHeight="1">
      <c r="A969" s="306" t="s">
        <v>140</v>
      </c>
      <c r="B969" s="306"/>
      <c r="C969" s="320" t="s">
        <v>267</v>
      </c>
      <c r="D969" s="372"/>
      <c r="E969" s="69">
        <v>0.757</v>
      </c>
      <c r="H969" s="93" t="str">
        <f t="shared" si="6"/>
        <v>Wooden scrap (without iron parts), Lying at OL Moga. Quantity in MT - 0.757</v>
      </c>
    </row>
    <row r="970" spans="1:8" ht="15" customHeight="1">
      <c r="A970" s="306" t="s">
        <v>144</v>
      </c>
      <c r="B970" s="306"/>
      <c r="C970" s="371" t="s">
        <v>371</v>
      </c>
      <c r="D970" s="371"/>
      <c r="E970" s="69">
        <v>0.37</v>
      </c>
      <c r="H970" s="93" t="str">
        <f t="shared" si="6"/>
        <v>Wooden scrap (without iron parts), Lying at OL Shri Mukatsar Sahib. Quantity in MT - 0.37</v>
      </c>
    </row>
    <row r="971" spans="1:8" ht="15" customHeight="1">
      <c r="A971" s="306" t="s">
        <v>370</v>
      </c>
      <c r="B971" s="306"/>
      <c r="C971" s="320" t="s">
        <v>189</v>
      </c>
      <c r="D971" s="320"/>
      <c r="E971" s="46">
        <v>1.235</v>
      </c>
      <c r="H971" s="93" t="str">
        <f t="shared" si="6"/>
        <v>Wooden scrap (without iron parts), Lying at OL Barnala. Quantity in MT - 1.235</v>
      </c>
    </row>
    <row r="972" spans="1:8" ht="15" customHeight="1">
      <c r="A972" s="306" t="s">
        <v>393</v>
      </c>
      <c r="B972" s="306"/>
      <c r="C972" s="371" t="s">
        <v>63</v>
      </c>
      <c r="D972" s="371"/>
      <c r="E972" s="46">
        <v>0.264</v>
      </c>
      <c r="H972" s="93" t="str">
        <f t="shared" si="6"/>
        <v>Wooden scrap (without iron parts), Lying at CS Bathinda. Quantity in MT - 0.264</v>
      </c>
    </row>
    <row r="973" spans="1:8" ht="15" customHeight="1">
      <c r="A973" s="306" t="s">
        <v>409</v>
      </c>
      <c r="B973" s="306"/>
      <c r="C973" s="320" t="s">
        <v>446</v>
      </c>
      <c r="D973" s="320"/>
      <c r="E973" s="46">
        <v>1.305</v>
      </c>
      <c r="H973" s="93" t="str">
        <f t="shared" si="6"/>
        <v>Wooden scrap (without iron parts), Lying at OLNabha. Quantity in MT - 1.305</v>
      </c>
    </row>
    <row r="974" spans="1:8" ht="15" customHeight="1">
      <c r="A974" s="306" t="s">
        <v>437</v>
      </c>
      <c r="B974" s="306"/>
      <c r="C974" s="320" t="s">
        <v>577</v>
      </c>
      <c r="D974" s="372"/>
      <c r="E974" s="46">
        <v>0.4</v>
      </c>
      <c r="H974" s="93" t="str">
        <f t="shared" si="6"/>
        <v>Wooden scrap (without iron parts), Lying at OLRajpura. Quantity in MT - 0.4</v>
      </c>
    </row>
    <row r="975" spans="1:8" ht="15" customHeight="1">
      <c r="A975" s="306" t="s">
        <v>445</v>
      </c>
      <c r="B975" s="306"/>
      <c r="C975" s="371" t="s">
        <v>62</v>
      </c>
      <c r="D975" s="371"/>
      <c r="E975" s="46">
        <v>2.22</v>
      </c>
      <c r="H975" s="93" t="str">
        <f t="shared" si="6"/>
        <v>Wooden scrap (without iron parts), Lying at CS Mohali. Quantity in MT - 2.22</v>
      </c>
    </row>
    <row r="976" spans="1:8" ht="15" customHeight="1" thickBot="1">
      <c r="A976" s="306" t="s">
        <v>584</v>
      </c>
      <c r="B976" s="306"/>
      <c r="C976" s="320" t="s">
        <v>98</v>
      </c>
      <c r="D976" s="320"/>
      <c r="E976" s="46">
        <v>0.814</v>
      </c>
      <c r="H976" s="93" t="str">
        <f t="shared" si="6"/>
        <v>Wooden scrap (without iron parts), Lying at OL Ropar. Quantity in MT - 0.814</v>
      </c>
    </row>
    <row r="977" spans="1:8" ht="15" customHeight="1" thickBot="1">
      <c r="A977" s="381" t="s">
        <v>14</v>
      </c>
      <c r="B977" s="382"/>
      <c r="C977" s="215"/>
      <c r="D977" s="215"/>
      <c r="E977" s="162">
        <f>SUM(E960:E976)</f>
        <v>24.849</v>
      </c>
      <c r="H977" s="93"/>
    </row>
    <row r="978" spans="1:8" ht="15" customHeight="1">
      <c r="A978" s="19"/>
      <c r="B978" s="19"/>
      <c r="C978" s="15"/>
      <c r="D978" s="15"/>
      <c r="E978" s="163"/>
      <c r="H978" s="1"/>
    </row>
    <row r="979" spans="1:8" ht="15" customHeight="1">
      <c r="A979" s="330" t="s">
        <v>11</v>
      </c>
      <c r="B979" s="331"/>
      <c r="C979" s="331"/>
      <c r="D979" s="331"/>
      <c r="E979" s="331"/>
      <c r="H979" s="1"/>
    </row>
    <row r="980" spans="1:8" ht="15" customHeight="1">
      <c r="A980" s="16"/>
      <c r="B980" s="17"/>
      <c r="C980" s="17"/>
      <c r="D980" s="17"/>
      <c r="E980" s="17"/>
      <c r="H980" s="1"/>
    </row>
    <row r="981" spans="1:8" ht="15" customHeight="1">
      <c r="A981" s="367" t="s">
        <v>8</v>
      </c>
      <c r="B981" s="368"/>
      <c r="C981" s="368"/>
      <c r="D981" s="368"/>
      <c r="E981" s="368"/>
      <c r="H981" s="1"/>
    </row>
    <row r="982" spans="1:8" ht="15" customHeight="1">
      <c r="A982" s="40" t="s">
        <v>5</v>
      </c>
      <c r="B982" s="308" t="s">
        <v>17</v>
      </c>
      <c r="C982" s="308"/>
      <c r="D982" s="209" t="s">
        <v>18</v>
      </c>
      <c r="E982" s="39" t="s">
        <v>76</v>
      </c>
      <c r="G982" s="253"/>
      <c r="H982" s="1"/>
    </row>
    <row r="983" spans="1:8" ht="15" customHeight="1">
      <c r="A983" s="40" t="s">
        <v>78</v>
      </c>
      <c r="B983" s="329" t="s">
        <v>108</v>
      </c>
      <c r="C983" s="329"/>
      <c r="D983" s="40" t="s">
        <v>77</v>
      </c>
      <c r="E983" s="159">
        <v>44</v>
      </c>
      <c r="H983" s="93" t="str">
        <f>CONCATENATE("CT/PT Units, Lying at ",B983,". Quantity in No - ",E983,)</f>
        <v>CT/PT Units, Lying at Central Store Kotkapura. Quantity in No - 44</v>
      </c>
    </row>
    <row r="984" spans="1:8" ht="15" customHeight="1">
      <c r="A984" s="39"/>
      <c r="B984" s="78"/>
      <c r="C984" s="78"/>
      <c r="D984" s="41"/>
      <c r="E984" s="160"/>
      <c r="H984" s="93"/>
    </row>
    <row r="985" spans="1:8" ht="15" customHeight="1">
      <c r="A985" s="40" t="s">
        <v>5</v>
      </c>
      <c r="B985" s="308" t="s">
        <v>17</v>
      </c>
      <c r="C985" s="308"/>
      <c r="D985" s="209" t="s">
        <v>18</v>
      </c>
      <c r="E985" s="39" t="s">
        <v>76</v>
      </c>
      <c r="H985" s="1"/>
    </row>
    <row r="986" spans="1:8" ht="15" customHeight="1">
      <c r="A986" s="40" t="s">
        <v>121</v>
      </c>
      <c r="B986" s="329" t="s">
        <v>159</v>
      </c>
      <c r="C986" s="329"/>
      <c r="D986" s="40" t="s">
        <v>77</v>
      </c>
      <c r="E986" s="159">
        <v>35</v>
      </c>
      <c r="H986" s="93" t="str">
        <f>CONCATENATE("CT/PT Units, Lying at ",B986,". Quantity in No - ",E986,)</f>
        <v>CT/PT Units, Lying at Central Store Patiala. Quantity in No - 35</v>
      </c>
    </row>
    <row r="987" spans="1:8" ht="15" customHeight="1">
      <c r="A987" s="39"/>
      <c r="B987" s="84"/>
      <c r="C987" s="84"/>
      <c r="D987" s="41"/>
      <c r="E987" s="160"/>
      <c r="H987" s="1"/>
    </row>
    <row r="988" spans="1:8" ht="15" customHeight="1">
      <c r="A988" s="40" t="s">
        <v>5</v>
      </c>
      <c r="B988" s="308" t="s">
        <v>17</v>
      </c>
      <c r="C988" s="308"/>
      <c r="D988" s="209" t="s">
        <v>18</v>
      </c>
      <c r="E988" s="39" t="s">
        <v>76</v>
      </c>
      <c r="H988" s="1"/>
    </row>
    <row r="989" spans="1:8" ht="15" customHeight="1">
      <c r="A989" s="40" t="s">
        <v>196</v>
      </c>
      <c r="B989" s="329" t="s">
        <v>184</v>
      </c>
      <c r="C989" s="329"/>
      <c r="D989" s="40" t="s">
        <v>77</v>
      </c>
      <c r="E989" s="159">
        <v>74</v>
      </c>
      <c r="H989" s="93" t="str">
        <f>CONCATENATE("CT/PT Units, Lying at ",B989,". Quantity in No - ",E989,)</f>
        <v>CT/PT Units, Lying at Outlet store Ropar. Quantity in No - 74</v>
      </c>
    </row>
    <row r="990" spans="1:8" ht="15" customHeight="1">
      <c r="A990" s="39"/>
      <c r="B990" s="84"/>
      <c r="C990" s="84"/>
      <c r="D990" s="217"/>
      <c r="E990" s="164"/>
      <c r="H990" s="1"/>
    </row>
    <row r="991" spans="1:8" ht="15" customHeight="1">
      <c r="A991" s="40" t="s">
        <v>5</v>
      </c>
      <c r="B991" s="308" t="s">
        <v>17</v>
      </c>
      <c r="C991" s="308"/>
      <c r="D991" s="209" t="s">
        <v>18</v>
      </c>
      <c r="E991" s="39" t="s">
        <v>76</v>
      </c>
      <c r="H991" s="1"/>
    </row>
    <row r="992" spans="1:8" ht="15" customHeight="1">
      <c r="A992" s="40" t="s">
        <v>205</v>
      </c>
      <c r="B992" s="329" t="s">
        <v>208</v>
      </c>
      <c r="C992" s="329"/>
      <c r="D992" s="40" t="s">
        <v>77</v>
      </c>
      <c r="E992" s="159">
        <v>62</v>
      </c>
      <c r="H992" s="93" t="str">
        <f>CONCATENATE("CT/PT Units, Lying at ",B992,". Quantity in No - ",E992,)</f>
        <v>CT/PT Units, Lying at Central Store Sangrur. Quantity in No - 62</v>
      </c>
    </row>
    <row r="993" spans="1:8" ht="15" customHeight="1">
      <c r="A993" s="39"/>
      <c r="B993" s="84"/>
      <c r="C993" s="84"/>
      <c r="D993" s="41"/>
      <c r="E993" s="160"/>
      <c r="H993" s="1"/>
    </row>
    <row r="994" spans="1:8" ht="15" customHeight="1">
      <c r="A994" s="40" t="s">
        <v>5</v>
      </c>
      <c r="B994" s="308" t="s">
        <v>17</v>
      </c>
      <c r="C994" s="308"/>
      <c r="D994" s="209" t="s">
        <v>18</v>
      </c>
      <c r="E994" s="39" t="s">
        <v>76</v>
      </c>
      <c r="H994" s="1"/>
    </row>
    <row r="995" spans="1:8" ht="15" customHeight="1">
      <c r="A995" s="40" t="s">
        <v>276</v>
      </c>
      <c r="B995" s="329" t="s">
        <v>286</v>
      </c>
      <c r="C995" s="329"/>
      <c r="D995" s="40" t="s">
        <v>77</v>
      </c>
      <c r="E995" s="159">
        <v>50</v>
      </c>
      <c r="H995" s="93" t="str">
        <f>CONCATENATE("CT/PT Units, Lying at ",B995,". Quantity in No - ",E995,)</f>
        <v>CT/PT Units, Lying at Central Store Bathinda. Quantity in No - 50</v>
      </c>
    </row>
    <row r="996" spans="1:8" ht="15" customHeight="1">
      <c r="A996" s="39"/>
      <c r="B996" s="84"/>
      <c r="C996" s="84"/>
      <c r="D996" s="41"/>
      <c r="E996" s="160"/>
      <c r="H996" s="1"/>
    </row>
    <row r="997" spans="1:8" ht="15" customHeight="1">
      <c r="A997" s="40" t="s">
        <v>5</v>
      </c>
      <c r="B997" s="308" t="s">
        <v>17</v>
      </c>
      <c r="C997" s="308"/>
      <c r="D997" s="209" t="s">
        <v>18</v>
      </c>
      <c r="E997" s="39" t="s">
        <v>76</v>
      </c>
      <c r="G997" s="253"/>
      <c r="H997" s="1"/>
    </row>
    <row r="998" spans="1:8" ht="15" customHeight="1">
      <c r="A998" s="40" t="s">
        <v>287</v>
      </c>
      <c r="B998" s="329" t="s">
        <v>108</v>
      </c>
      <c r="C998" s="329"/>
      <c r="D998" s="40" t="s">
        <v>277</v>
      </c>
      <c r="E998" s="159">
        <v>168</v>
      </c>
      <c r="H998" s="93" t="str">
        <f>CONCATENATE("Empty steel drums (cap 209 ltrs), Lying at ",B998,". Quantity in No - ",E998,)</f>
        <v>Empty steel drums (cap 209 ltrs), Lying at Central Store Kotkapura. Quantity in No - 168</v>
      </c>
    </row>
    <row r="999" spans="1:8" ht="15" customHeight="1">
      <c r="A999" s="39"/>
      <c r="B999" s="84"/>
      <c r="C999" s="84"/>
      <c r="D999" s="41"/>
      <c r="E999" s="160"/>
      <c r="H999" s="1"/>
    </row>
    <row r="1000" spans="1:8" ht="15" customHeight="1">
      <c r="A1000" s="40" t="s">
        <v>5</v>
      </c>
      <c r="B1000" s="308" t="s">
        <v>17</v>
      </c>
      <c r="C1000" s="308"/>
      <c r="D1000" s="209" t="s">
        <v>18</v>
      </c>
      <c r="E1000" s="39" t="s">
        <v>76</v>
      </c>
      <c r="H1000" s="1"/>
    </row>
    <row r="1001" spans="1:8" ht="15" customHeight="1">
      <c r="A1001" s="40" t="s">
        <v>311</v>
      </c>
      <c r="B1001" s="329" t="s">
        <v>310</v>
      </c>
      <c r="C1001" s="329"/>
      <c r="D1001" s="40" t="s">
        <v>277</v>
      </c>
      <c r="E1001" s="159">
        <v>53</v>
      </c>
      <c r="H1001" s="93" t="str">
        <f>CONCATENATE("Empty steel drums (cap 209 ltrs), Lying at ",B1001,". Quantity in No - ",E1001,)</f>
        <v>Empty steel drums (cap 209 ltrs), Lying at Central Store Malout. Quantity in No - 53</v>
      </c>
    </row>
    <row r="1002" spans="1:8" ht="15" customHeight="1">
      <c r="A1002" s="39"/>
      <c r="B1002" s="84"/>
      <c r="C1002" s="84"/>
      <c r="D1002" s="217"/>
      <c r="E1002" s="164"/>
      <c r="H1002" s="1"/>
    </row>
    <row r="1003" spans="1:8" ht="15" customHeight="1">
      <c r="A1003" s="40" t="s">
        <v>5</v>
      </c>
      <c r="B1003" s="308" t="s">
        <v>17</v>
      </c>
      <c r="C1003" s="308"/>
      <c r="D1003" s="209" t="s">
        <v>18</v>
      </c>
      <c r="E1003" s="39" t="s">
        <v>76</v>
      </c>
      <c r="H1003" s="1"/>
    </row>
    <row r="1004" spans="1:8" ht="15" customHeight="1">
      <c r="A1004" s="40" t="s">
        <v>321</v>
      </c>
      <c r="B1004" s="329" t="s">
        <v>184</v>
      </c>
      <c r="C1004" s="329"/>
      <c r="D1004" s="40" t="s">
        <v>277</v>
      </c>
      <c r="E1004" s="159">
        <v>13</v>
      </c>
      <c r="H1004" s="93" t="str">
        <f>CONCATENATE("Empty steel drums (cap 209 ltrs), Lying at ",B1004,". Quantity in No - ",E1004,)</f>
        <v>Empty steel drums (cap 209 ltrs), Lying at Outlet store Ropar. Quantity in No - 13</v>
      </c>
    </row>
    <row r="1005" spans="1:8" ht="12.75" customHeight="1">
      <c r="A1005" s="39"/>
      <c r="B1005" s="84"/>
      <c r="C1005" s="84"/>
      <c r="D1005" s="217"/>
      <c r="E1005" s="164"/>
      <c r="F1005" s="94"/>
      <c r="G1005" s="94"/>
      <c r="H1005" s="95"/>
    </row>
    <row r="1006" spans="1:8" ht="12.75" customHeight="1">
      <c r="A1006" s="321" t="s">
        <v>16</v>
      </c>
      <c r="B1006" s="322"/>
      <c r="C1006" s="322"/>
      <c r="D1006" s="322"/>
      <c r="E1006" s="322"/>
      <c r="H1006" s="1"/>
    </row>
    <row r="1007" spans="1:8" ht="12.75" customHeight="1">
      <c r="A1007" s="20"/>
      <c r="B1007" s="21"/>
      <c r="C1007" s="21"/>
      <c r="D1007" s="21"/>
      <c r="E1007" s="21"/>
      <c r="H1007" s="1"/>
    </row>
    <row r="1008" spans="1:8" ht="25.5" customHeight="1">
      <c r="A1008" s="369" t="s">
        <v>15</v>
      </c>
      <c r="B1008" s="370"/>
      <c r="C1008" s="370"/>
      <c r="D1008" s="370"/>
      <c r="E1008" s="370"/>
      <c r="H1008" s="1"/>
    </row>
    <row r="1009" spans="1:8" ht="15" customHeight="1">
      <c r="A1009" s="212"/>
      <c r="B1009" s="213"/>
      <c r="C1009" s="213"/>
      <c r="D1009" s="213"/>
      <c r="E1009" s="213"/>
      <c r="H1009" s="1"/>
    </row>
    <row r="1010" spans="1:8" ht="15" customHeight="1">
      <c r="A1010" s="358" t="s">
        <v>49</v>
      </c>
      <c r="B1010" s="359"/>
      <c r="C1010" s="359"/>
      <c r="D1010" s="359"/>
      <c r="E1010" s="359"/>
      <c r="H1010" s="1"/>
    </row>
    <row r="1011" spans="1:8" ht="29.25" customHeight="1">
      <c r="A1011" s="14" t="s">
        <v>5</v>
      </c>
      <c r="B1011" s="14" t="s">
        <v>1</v>
      </c>
      <c r="C1011" s="14" t="s">
        <v>2</v>
      </c>
      <c r="D1011" s="14" t="s">
        <v>3</v>
      </c>
      <c r="E1011" s="165" t="s">
        <v>4</v>
      </c>
      <c r="H1011" s="1"/>
    </row>
    <row r="1012" spans="1:8" ht="29.25" customHeight="1">
      <c r="A1012" s="11" t="s">
        <v>109</v>
      </c>
      <c r="B1012" s="11" t="s">
        <v>88</v>
      </c>
      <c r="C1012" s="11" t="s">
        <v>105</v>
      </c>
      <c r="D1012" s="11" t="s">
        <v>89</v>
      </c>
      <c r="E1012" s="24" t="s">
        <v>252</v>
      </c>
      <c r="H1012" s="100" t="str">
        <f>CONCATENATE("Condemned/obsolete Vehicles  (Without RC )--- ",B1012," ",C1012," ",E1012," ",)</f>
        <v>Condemned/obsolete Vehicles  (Without RC )--- PB-11 AH-0925 HONDA CIVIC CAR (PETROL) 2008 …. CE/ TA &amp; I PSPCL PATIALA 96461-19587 </v>
      </c>
    </row>
    <row r="1013" spans="1:8" ht="29.25" customHeight="1">
      <c r="A1013" s="11" t="s">
        <v>151</v>
      </c>
      <c r="B1013" s="23" t="s">
        <v>148</v>
      </c>
      <c r="C1013" s="23" t="s">
        <v>149</v>
      </c>
      <c r="D1013" s="23" t="s">
        <v>150</v>
      </c>
      <c r="E1013" s="87" t="s">
        <v>253</v>
      </c>
      <c r="H1013" s="100" t="str">
        <f>CONCATENATE("Condemned/obsolete Vehicles  (Without RC )--- ",B1013," ",C1013," ",E1013," ",)</f>
        <v>Condemned/obsolete Vehicles  (Without RC )--- PB-05 F-9520 MINI TRUCK EICHER DIESEL (1999) ….. DS S/D MAMDOT PSPCL FEROZEPUR MOB 9646114589 </v>
      </c>
    </row>
    <row r="1014" spans="1:8" ht="29.25" customHeight="1">
      <c r="A1014" s="11" t="s">
        <v>154</v>
      </c>
      <c r="B1014" s="23" t="s">
        <v>155</v>
      </c>
      <c r="C1014" s="23" t="s">
        <v>156</v>
      </c>
      <c r="D1014" s="23" t="s">
        <v>157</v>
      </c>
      <c r="E1014" s="87" t="s">
        <v>254</v>
      </c>
      <c r="H1014" s="100" t="str">
        <f>CONCATENATE("Condemned/obsolete Vehicles  (Without RC )--- ",B1014," ",C1014," ",E1014," ",)</f>
        <v>Condemned/obsolete Vehicles  (Without RC )--- PB-03 N-5547 AMBASSADOR CAR DIESEL (2005) ….. DS DIVISION BADAL 96461-14534 </v>
      </c>
    </row>
    <row r="1015" spans="1:15" ht="15" customHeight="1">
      <c r="A1015" s="18"/>
      <c r="B1015" s="22"/>
      <c r="C1015" s="22"/>
      <c r="D1015" s="18"/>
      <c r="E1015" s="166"/>
      <c r="F1015" s="98"/>
      <c r="G1015" s="98"/>
      <c r="H1015" s="98"/>
      <c r="I1015" s="98"/>
      <c r="J1015" s="98"/>
      <c r="K1015" s="98"/>
      <c r="L1015" s="98"/>
      <c r="M1015" s="98"/>
      <c r="N1015" s="98"/>
      <c r="O1015" s="98"/>
    </row>
    <row r="1016" spans="1:15" ht="15" customHeight="1">
      <c r="A1016" s="365" t="s">
        <v>50</v>
      </c>
      <c r="B1016" s="366"/>
      <c r="C1016" s="366"/>
      <c r="D1016" s="366"/>
      <c r="E1016" s="366"/>
      <c r="F1016" s="98"/>
      <c r="G1016" s="98"/>
      <c r="H1016" s="98"/>
      <c r="I1016" s="98" t="str">
        <f ca="1">IF(G1015&gt;=6,(MID(H1016,1,1)&amp;MID(H1016,2,4)+1),CELL("address",Z1016))</f>
        <v>$Z$1016</v>
      </c>
      <c r="J1016" s="98" t="str">
        <f ca="1">IF(G1015&gt;=7,(MID(I1016,1,1)&amp;MID(I1016,2,4)+1),CELL("address",AA1016))</f>
        <v>$AA$1016</v>
      </c>
      <c r="K1016" s="98" t="str">
        <f ca="1">IF(G1015&gt;=8,(MID(J1016,1,1)&amp;MID(J1016,2,4)+1),CELL("address",AB1016))</f>
        <v>$AB$1016</v>
      </c>
      <c r="L1016" s="98" t="str">
        <f ca="1">IF(G1015&gt;=9,(MID(K1016,1,1)&amp;MID(K1016,2,4)+1),CELL("address",AC1016))</f>
        <v>$AC$1016</v>
      </c>
      <c r="M1016" s="98" t="str">
        <f ca="1">IF(G1015&gt;=10,(MID(L1016,1,1)&amp;MID(L1016,2,4)+1),CELL("address",AD1016))</f>
        <v>$AD$1016</v>
      </c>
      <c r="N1016" s="98" t="str">
        <f ca="1">IF(G1015&gt;=11,(MID(M1016,1,1)&amp;MID(M1016,2,4)+1),CELL("address",AE1016))</f>
        <v>$AE$1016</v>
      </c>
      <c r="O1016" s="98" t="str">
        <f ca="1">IF(G1015&gt;=12,(MID(N1016,1,1)&amp;MID(N1016,2,4)+1),CELL("address",AF1016))</f>
        <v>$AF$1016</v>
      </c>
    </row>
    <row r="1017" spans="1:8" ht="15" customHeight="1">
      <c r="A1017" s="360" t="s">
        <v>106</v>
      </c>
      <c r="B1017" s="361"/>
      <c r="C1017" s="361"/>
      <c r="D1017" s="361"/>
      <c r="E1017" s="361"/>
      <c r="H1017" s="1"/>
    </row>
    <row r="1018" spans="1:8" ht="15" customHeight="1">
      <c r="A1018" s="6"/>
      <c r="B1018" s="7"/>
      <c r="C1018" s="7"/>
      <c r="D1018" s="7"/>
      <c r="E1018" s="7"/>
      <c r="H1018" s="1"/>
    </row>
    <row r="1019" spans="1:20" ht="15" customHeight="1">
      <c r="A1019" s="321" t="s">
        <v>25</v>
      </c>
      <c r="B1019" s="322"/>
      <c r="C1019" s="322"/>
      <c r="D1019" s="322"/>
      <c r="E1019" s="322"/>
      <c r="F1019" s="120"/>
      <c r="H1019" s="1"/>
      <c r="Q1019" s="312"/>
      <c r="R1019" s="312"/>
      <c r="S1019" s="312"/>
      <c r="T1019" s="312"/>
    </row>
    <row r="1020" spans="1:8" ht="15" customHeight="1">
      <c r="A1020" s="61"/>
      <c r="B1020" s="61"/>
      <c r="C1020" s="62"/>
      <c r="D1020" s="62"/>
      <c r="E1020" s="63">
        <f>SUM(E1022:E1025)</f>
        <v>4.129</v>
      </c>
      <c r="H1020" s="1"/>
    </row>
    <row r="1021" spans="1:18" ht="17.25" customHeight="1">
      <c r="A1021" s="304" t="s">
        <v>5</v>
      </c>
      <c r="B1021" s="307"/>
      <c r="C1021" s="64" t="s">
        <v>17</v>
      </c>
      <c r="D1021" s="65" t="s">
        <v>18</v>
      </c>
      <c r="E1021" s="68" t="s">
        <v>7</v>
      </c>
      <c r="G1021" s="168" t="str">
        <f>CONCATENATE("Misc. Healthy parts/ Non Ferrous  Scrap, Lying at ",C1022,". Quantity in MT - ")</f>
        <v>Misc. Healthy parts/ Non Ferrous  Scrap, Lying at TRY Bathinda. Quantity in MT - </v>
      </c>
      <c r="H1021" s="309" t="str">
        <f ca="1">CONCATENATE(G1021,G1022,(INDIRECT(I1022)),(INDIRECT(J1022)),(INDIRECT(K1022)),(INDIRECT(L1022)),(INDIRECT(M1022)),(INDIRECT(N1022)),(INDIRECT(O1022)),(INDIRECT(P1022)),(INDIRECT(Q1022)),(INDIRECT(R1022)),".")</f>
        <v>Misc. Healthy parts/ Non Ferrous  Scrap, Lying at TRY Bathinda. Quantity in MT - Brass scrap - 2.683, Misc. Aluminium scrap - 0.893, Burnt Cu scrap - 0.203, Nuts &amp; Bolts scrap - 0.35, .</v>
      </c>
      <c r="I1021" s="98" t="str">
        <f aca="true" ca="1" t="array" ref="I1021">CELL("address",INDEX(G1021:G1043,MATCH(TRUE,ISBLANK(G1021:G1043),0)))</f>
        <v>$G$1026</v>
      </c>
      <c r="J1021" s="98">
        <f aca="true" t="array" ref="J1021">MATCH(TRUE,ISBLANK(G1021:G1043),0)</f>
        <v>6</v>
      </c>
      <c r="K1021" s="98">
        <f>J1021-3</f>
        <v>3</v>
      </c>
      <c r="L1021" s="98"/>
      <c r="M1021" s="98"/>
      <c r="N1021" s="98"/>
      <c r="O1021" s="98"/>
      <c r="P1021" s="98"/>
      <c r="Q1021" s="98"/>
      <c r="R1021" s="98"/>
    </row>
    <row r="1022" spans="1:18" ht="17.25" customHeight="1">
      <c r="A1022" s="306" t="s">
        <v>34</v>
      </c>
      <c r="B1022" s="306"/>
      <c r="C1022" s="308" t="s">
        <v>36</v>
      </c>
      <c r="D1022" s="40" t="s">
        <v>23</v>
      </c>
      <c r="E1022" s="69">
        <v>2.683</v>
      </c>
      <c r="F1022" s="98"/>
      <c r="G1022" s="101" t="str">
        <f>CONCATENATE(D1022," - ",E1022,", ")</f>
        <v>Brass scrap - 2.683, </v>
      </c>
      <c r="H1022" s="309"/>
      <c r="I1022" s="98" t="str">
        <f ca="1">IF(J1021&gt;=3,(MID(I1021,2,1)&amp;MID(I1021,4,4)-K1021),CELL("address",Z1022))</f>
        <v>G1023</v>
      </c>
      <c r="J1022" s="98" t="str">
        <f ca="1">IF(J1021&gt;=4,(MID(I1022,1,1)&amp;MID(I1022,2,4)+1),CELL("address",AA1022))</f>
        <v>G1024</v>
      </c>
      <c r="K1022" s="98" t="str">
        <f ca="1">IF(J1021&gt;=5,(MID(J1022,1,1)&amp;MID(J1022,2,4)+1),CELL("address",AB1022))</f>
        <v>G1025</v>
      </c>
      <c r="L1022" s="98" t="str">
        <f ca="1">IF(J1021&gt;=6,(MID(K1022,1,1)&amp;MID(K1022,2,4)+1),CELL("address",AC1022))</f>
        <v>G1026</v>
      </c>
      <c r="M1022" s="98" t="str">
        <f ca="1">IF(J1021&gt;=7,(MID(L1022,1,1)&amp;MID(L1022,2,4)+1),CELL("address",AD1022))</f>
        <v>$AD$1022</v>
      </c>
      <c r="N1022" s="98" t="str">
        <f ca="1">IF(J1021&gt;=8,(MID(M1022,1,1)&amp;MID(M1022,2,4)+1),CELL("address",AE1022))</f>
        <v>$AE$1022</v>
      </c>
      <c r="O1022" s="98" t="str">
        <f ca="1">IF(J1021&gt;=9,(MID(N1022,1,1)&amp;MID(N1022,2,4)+1),CELL("address",AF1022))</f>
        <v>$AF$1022</v>
      </c>
      <c r="P1022" s="98" t="str">
        <f ca="1">IF(J1021&gt;=10,(MID(O1022,1,1)&amp;MID(O1022,2,4)+1),CELL("address",AG1022))</f>
        <v>$AG$1022</v>
      </c>
      <c r="Q1022" s="98" t="str">
        <f ca="1">IF(J1021&gt;=11,(MID(P1022,1,1)&amp;MID(P1022,2,4)+1),CELL("address",AH1022))</f>
        <v>$AH$1022</v>
      </c>
      <c r="R1022" s="98" t="str">
        <f ca="1">IF(J1021&gt;=12,(MID(Q1022,1,1)&amp;MID(Q1022,2,4)+1),CELL("address",AI1022))</f>
        <v>$AI$1022</v>
      </c>
    </row>
    <row r="1023" spans="1:15" ht="17.25" customHeight="1">
      <c r="A1023" s="306"/>
      <c r="B1023" s="306"/>
      <c r="C1023" s="308"/>
      <c r="D1023" s="40" t="s">
        <v>24</v>
      </c>
      <c r="E1023" s="69">
        <v>0.893</v>
      </c>
      <c r="F1023" s="98"/>
      <c r="G1023" s="101" t="str">
        <f>CONCATENATE(D1023," - ",E1023,", ")</f>
        <v>Misc. Aluminium scrap - 0.893, </v>
      </c>
      <c r="H1023" s="98"/>
      <c r="I1023" s="98" t="e">
        <f ca="1">IF(G1022&gt;=6,(MID(H1023,1,1)&amp;MID(H1023,2,4)+1),CELL("address",Z1023))</f>
        <v>#VALUE!</v>
      </c>
      <c r="J1023" s="98" t="e">
        <f ca="1">IF(G1022&gt;=7,(MID(I1023,1,1)&amp;MID(I1023,2,4)+1),CELL("address",AA1023))</f>
        <v>#VALUE!</v>
      </c>
      <c r="K1023" s="98" t="e">
        <f ca="1">IF(G1022&gt;=8,(MID(J1023,1,1)&amp;MID(J1023,2,4)+1),CELL("address",AB1023))</f>
        <v>#VALUE!</v>
      </c>
      <c r="L1023" s="98" t="e">
        <f ca="1">IF(G1022&gt;=9,(MID(K1023,1,1)&amp;MID(K1023,2,4)+1),CELL("address",AC1023))</f>
        <v>#VALUE!</v>
      </c>
      <c r="M1023" s="98" t="e">
        <f ca="1">IF(G1022&gt;=10,(MID(L1023,1,1)&amp;MID(L1023,2,4)+1),CELL("address",AD1023))</f>
        <v>#VALUE!</v>
      </c>
      <c r="N1023" s="98" t="e">
        <f ca="1">IF(G1022&gt;=11,(MID(M1023,1,1)&amp;MID(M1023,2,4)+1),CELL("address",AE1023))</f>
        <v>#VALUE!</v>
      </c>
      <c r="O1023" s="98" t="e">
        <f ca="1">IF(G1022&gt;=12,(MID(N1023,1,1)&amp;MID(N1023,2,4)+1),CELL("address",AF1023))</f>
        <v>#VALUE!</v>
      </c>
    </row>
    <row r="1024" spans="1:8" ht="17.25" customHeight="1">
      <c r="A1024" s="306"/>
      <c r="B1024" s="306"/>
      <c r="C1024" s="308"/>
      <c r="D1024" s="40" t="s">
        <v>37</v>
      </c>
      <c r="E1024" s="69">
        <v>0.203</v>
      </c>
      <c r="G1024" s="101" t="str">
        <f>CONCATENATE(D1024," - ",E1024,", ")</f>
        <v>Burnt Cu scrap - 0.203, </v>
      </c>
      <c r="H1024" s="1"/>
    </row>
    <row r="1025" spans="1:8" ht="17.25" customHeight="1">
      <c r="A1025" s="306"/>
      <c r="B1025" s="306"/>
      <c r="C1025" s="308"/>
      <c r="D1025" s="40" t="s">
        <v>58</v>
      </c>
      <c r="E1025" s="69">
        <v>0.35</v>
      </c>
      <c r="G1025" s="101" t="str">
        <f>CONCATENATE(D1025," - ",E1025,", ")</f>
        <v>Nuts &amp; Bolts scrap - 0.35, </v>
      </c>
      <c r="H1025" s="1"/>
    </row>
    <row r="1026" spans="1:8" ht="17.25" customHeight="1">
      <c r="A1026" s="304"/>
      <c r="B1026" s="307"/>
      <c r="C1026" s="254"/>
      <c r="D1026" s="40"/>
      <c r="E1026" s="69"/>
      <c r="H1026" s="1"/>
    </row>
    <row r="1027" spans="1:8" ht="15" customHeight="1">
      <c r="A1027" s="310"/>
      <c r="B1027" s="311"/>
      <c r="C1027" s="66"/>
      <c r="D1027" s="66"/>
      <c r="E1027" s="118">
        <f>SUM(E1029:E1034)</f>
        <v>12.472</v>
      </c>
      <c r="H1027" s="1"/>
    </row>
    <row r="1028" spans="1:18" ht="15" customHeight="1">
      <c r="A1028" s="317" t="s">
        <v>5</v>
      </c>
      <c r="B1028" s="318"/>
      <c r="C1028" s="64" t="s">
        <v>17</v>
      </c>
      <c r="D1028" s="65" t="s">
        <v>18</v>
      </c>
      <c r="E1028" s="68" t="s">
        <v>7</v>
      </c>
      <c r="G1028" s="168" t="str">
        <f>CONCATENATE("Misc. Healthy parts/ Non Ferrous  Scrap, Lying at ",C1029,". Quantity in MT - ")</f>
        <v>Misc. Healthy parts/ Non Ferrous  Scrap, Lying at TRY Ferozepur. Quantity in MT - </v>
      </c>
      <c r="H1028" s="309" t="str">
        <f ca="1">CONCATENATE(G1028,G1029,(INDIRECT(I1029)),(INDIRECT(J1029)),(INDIRECT(K1029)),(INDIRECT(L1029)),(INDIRECT(M1029)),(INDIRECT(N1029)),(INDIRECT(O1029)),(INDIRECT(P1029)),(INDIRECT(Q1029)),(INDIRECT(R1029)),".")</f>
        <v>Misc. Healthy parts/ Non Ferrous  Scrap, Lying at TRY Ferozepur. Quantity in MT - Brass scrap - 5.28, Misc. Aluminium scrap - 0.941, Iron scrap - 0.668, Burnt Cu scrap - 0.239, Nuts &amp; Bolts scrap - 4.174, Teen Patra scrap - 1.17, .</v>
      </c>
      <c r="I1028" s="98" t="str">
        <f aca="true" ca="1" t="array" ref="I1028">CELL("address",INDEX(G1028:G1050,MATCH(TRUE,ISBLANK(G1028:G1050),0)))</f>
        <v>$G$1035</v>
      </c>
      <c r="J1028" s="98">
        <f aca="true" t="array" ref="J1028">MATCH(TRUE,ISBLANK(G1028:G1050),0)</f>
        <v>8</v>
      </c>
      <c r="K1028" s="98">
        <f>J1028-3</f>
        <v>5</v>
      </c>
      <c r="L1028" s="98"/>
      <c r="M1028" s="98"/>
      <c r="N1028" s="98"/>
      <c r="O1028" s="98"/>
      <c r="P1028" s="98"/>
      <c r="Q1028" s="98"/>
      <c r="R1028" s="98"/>
    </row>
    <row r="1029" spans="1:18" ht="15" customHeight="1">
      <c r="A1029" s="306" t="s">
        <v>110</v>
      </c>
      <c r="B1029" s="306"/>
      <c r="C1029" s="308" t="s">
        <v>42</v>
      </c>
      <c r="D1029" s="40" t="s">
        <v>23</v>
      </c>
      <c r="E1029" s="69">
        <v>5.28</v>
      </c>
      <c r="G1029" s="101" t="str">
        <f aca="true" t="shared" si="7" ref="G1029:G1034">CONCATENATE(D1029," - ",E1029,", ")</f>
        <v>Brass scrap - 5.28, </v>
      </c>
      <c r="H1029" s="309"/>
      <c r="I1029" s="98" t="str">
        <f ca="1">IF(J1028&gt;=3,(MID(I1028,2,1)&amp;MID(I1028,4,4)-K1028),CELL("address",Z1029))</f>
        <v>G1030</v>
      </c>
      <c r="J1029" s="98" t="str">
        <f ca="1">IF(J1028&gt;=4,(MID(I1029,1,1)&amp;MID(I1029,2,4)+1),CELL("address",AA1029))</f>
        <v>G1031</v>
      </c>
      <c r="K1029" s="98" t="str">
        <f ca="1">IF(J1028&gt;=5,(MID(J1029,1,1)&amp;MID(J1029,2,4)+1),CELL("address",AB1029))</f>
        <v>G1032</v>
      </c>
      <c r="L1029" s="98" t="str">
        <f ca="1">IF(J1028&gt;=6,(MID(K1029,1,1)&amp;MID(K1029,2,4)+1),CELL("address",AC1029))</f>
        <v>G1033</v>
      </c>
      <c r="M1029" s="98" t="str">
        <f ca="1">IF(J1028&gt;=7,(MID(L1029,1,1)&amp;MID(L1029,2,4)+1),CELL("address",AD1029))</f>
        <v>G1034</v>
      </c>
      <c r="N1029" s="98" t="str">
        <f ca="1">IF(J1028&gt;=8,(MID(M1029,1,1)&amp;MID(M1029,2,4)+1),CELL("address",AE1029))</f>
        <v>G1035</v>
      </c>
      <c r="O1029" s="98" t="str">
        <f ca="1">IF(J1028&gt;=9,(MID(N1029,1,1)&amp;MID(N1029,2,4)+1),CELL("address",AF1029))</f>
        <v>$AF$1029</v>
      </c>
      <c r="P1029" s="98" t="str">
        <f ca="1">IF(J1028&gt;=10,(MID(O1029,1,1)&amp;MID(O1029,2,4)+1),CELL("address",AG1029))</f>
        <v>$AG$1029</v>
      </c>
      <c r="Q1029" s="98" t="str">
        <f ca="1">IF(J1028&gt;=11,(MID(P1029,1,1)&amp;MID(P1029,2,4)+1),CELL("address",AH1029))</f>
        <v>$AH$1029</v>
      </c>
      <c r="R1029" s="98" t="str">
        <f ca="1">IF(J1028&gt;=12,(MID(Q1029,1,1)&amp;MID(Q1029,2,4)+1),CELL("address",AI1029))</f>
        <v>$AI$1029</v>
      </c>
    </row>
    <row r="1030" spans="1:8" ht="15" customHeight="1">
      <c r="A1030" s="306"/>
      <c r="B1030" s="306"/>
      <c r="C1030" s="308"/>
      <c r="D1030" s="40" t="s">
        <v>24</v>
      </c>
      <c r="E1030" s="69">
        <v>0.941</v>
      </c>
      <c r="G1030" s="101" t="str">
        <f t="shared" si="7"/>
        <v>Misc. Aluminium scrap - 0.941, </v>
      </c>
      <c r="H1030" s="1"/>
    </row>
    <row r="1031" spans="1:15" ht="15" customHeight="1">
      <c r="A1031" s="306"/>
      <c r="B1031" s="306"/>
      <c r="C1031" s="308"/>
      <c r="D1031" s="40" t="s">
        <v>27</v>
      </c>
      <c r="E1031" s="68">
        <v>0.668</v>
      </c>
      <c r="F1031" s="98"/>
      <c r="G1031" s="101" t="str">
        <f t="shared" si="7"/>
        <v>Iron scrap - 0.668, </v>
      </c>
      <c r="H1031" s="98"/>
      <c r="I1031" s="98"/>
      <c r="J1031" s="98"/>
      <c r="K1031" s="98"/>
      <c r="L1031" s="98"/>
      <c r="M1031" s="98"/>
      <c r="N1031" s="98"/>
      <c r="O1031" s="98"/>
    </row>
    <row r="1032" spans="1:15" ht="15" customHeight="1">
      <c r="A1032" s="306"/>
      <c r="B1032" s="306"/>
      <c r="C1032" s="308"/>
      <c r="D1032" s="40" t="s">
        <v>37</v>
      </c>
      <c r="E1032" s="68">
        <v>0.239</v>
      </c>
      <c r="F1032" s="98"/>
      <c r="G1032" s="101" t="str">
        <f t="shared" si="7"/>
        <v>Burnt Cu scrap - 0.239, </v>
      </c>
      <c r="H1032" s="98"/>
      <c r="I1032" s="98" t="e">
        <f ca="1">IF(G1031&gt;=6,(MID(H1032,1,1)&amp;MID(H1032,2,4)+1),CELL("address",Z1032))</f>
        <v>#VALUE!</v>
      </c>
      <c r="J1032" s="98" t="e">
        <f ca="1">IF(G1031&gt;=7,(MID(I1032,1,1)&amp;MID(I1032,2,4)+1),CELL("address",AA1032))</f>
        <v>#VALUE!</v>
      </c>
      <c r="K1032" s="98" t="e">
        <f ca="1">IF(G1031&gt;=8,(MID(J1032,1,1)&amp;MID(J1032,2,4)+1),CELL("address",AB1032))</f>
        <v>#VALUE!</v>
      </c>
      <c r="L1032" s="98" t="e">
        <f ca="1">IF(G1031&gt;=9,(MID(K1032,1,1)&amp;MID(K1032,2,4)+1),CELL("address",AC1032))</f>
        <v>#VALUE!</v>
      </c>
      <c r="M1032" s="98" t="e">
        <f ca="1">IF(G1031&gt;=10,(MID(L1032,1,1)&amp;MID(L1032,2,4)+1),CELL("address",AD1032))</f>
        <v>#VALUE!</v>
      </c>
      <c r="N1032" s="98" t="e">
        <f ca="1">IF(G1031&gt;=11,(MID(M1032,1,1)&amp;MID(M1032,2,4)+1),CELL("address",AE1032))</f>
        <v>#VALUE!</v>
      </c>
      <c r="O1032" s="98" t="e">
        <f ca="1">IF(G1031&gt;=12,(MID(N1032,1,1)&amp;MID(N1032,2,4)+1),CELL("address",AF1032))</f>
        <v>#VALUE!</v>
      </c>
    </row>
    <row r="1033" spans="1:8" ht="15" customHeight="1">
      <c r="A1033" s="306"/>
      <c r="B1033" s="306"/>
      <c r="C1033" s="308"/>
      <c r="D1033" s="40" t="s">
        <v>58</v>
      </c>
      <c r="E1033" s="68">
        <v>4.174</v>
      </c>
      <c r="G1033" s="101" t="str">
        <f t="shared" si="7"/>
        <v>Nuts &amp; Bolts scrap - 4.174, </v>
      </c>
      <c r="H1033" s="1"/>
    </row>
    <row r="1034" spans="1:8" ht="15" customHeight="1">
      <c r="A1034" s="306"/>
      <c r="B1034" s="306"/>
      <c r="C1034" s="308"/>
      <c r="D1034" s="40" t="s">
        <v>64</v>
      </c>
      <c r="E1034" s="167">
        <v>1.17</v>
      </c>
      <c r="G1034" s="101" t="str">
        <f t="shared" si="7"/>
        <v>Teen Patra scrap - 1.17, </v>
      </c>
      <c r="H1034" s="1"/>
    </row>
    <row r="1035" spans="1:8" ht="15" customHeight="1">
      <c r="A1035" s="39"/>
      <c r="B1035" s="42"/>
      <c r="C1035" s="254"/>
      <c r="D1035" s="40"/>
      <c r="E1035" s="167"/>
      <c r="H1035" s="1"/>
    </row>
    <row r="1036" spans="1:8" ht="15" customHeight="1">
      <c r="A1036" s="310"/>
      <c r="B1036" s="311"/>
      <c r="C1036" s="66"/>
      <c r="D1036" s="66"/>
      <c r="E1036" s="118">
        <f>SUM(E1038:E1042)</f>
        <v>3.727</v>
      </c>
      <c r="F1036" s="120"/>
      <c r="H1036" s="1"/>
    </row>
    <row r="1037" spans="1:18" ht="15" customHeight="1">
      <c r="A1037" s="306" t="s">
        <v>5</v>
      </c>
      <c r="B1037" s="306"/>
      <c r="C1037" s="64" t="s">
        <v>17</v>
      </c>
      <c r="D1037" s="65" t="s">
        <v>18</v>
      </c>
      <c r="E1037" s="68" t="s">
        <v>7</v>
      </c>
      <c r="G1037" s="168" t="str">
        <f>CONCATENATE("Misc. Healthy parts/ Non Ferrous  Scrap, Lying at ",C1038,". Quantity in MT - ")</f>
        <v>Misc. Healthy parts/ Non Ferrous  Scrap, Lying at OL store Ropar. Quantity in MT - </v>
      </c>
      <c r="H1037" s="309" t="str">
        <f ca="1">CONCATENATE(G1037,G1038,(INDIRECT(I1038)),(INDIRECT(J1038)),(INDIRECT(K1038)),(INDIRECT(L1038)),(INDIRECT(M1038)),(INDIRECT(N1038)),(INDIRECT(O1038)),(INDIRECT(P1038)),(INDIRECT(Q1038)),(INDIRECT(R1038)),".")</f>
        <v>Misc. Healthy parts/ Non Ferrous  Scrap, Lying at OL store Ropar. Quantity in MT - Brass scrap - 2.473, Misc. Aluminium scrap - 0.346, Burnt Cu scrap - 0.298, All Alumn. Conductor Scrap - 0.343, Misc. Copper scrap - 0.267, .</v>
      </c>
      <c r="I1037" s="98" t="str">
        <f aca="true" ca="1" t="array" ref="I1037">CELL("address",INDEX(G1037:G1059,MATCH(TRUE,ISBLANK(G1037:G1059),0)))</f>
        <v>$G$1043</v>
      </c>
      <c r="J1037" s="98">
        <f aca="true" t="array" ref="J1037">MATCH(TRUE,ISBLANK(G1037:G1059),0)</f>
        <v>7</v>
      </c>
      <c r="K1037" s="98">
        <f>J1037-3</f>
        <v>4</v>
      </c>
      <c r="L1037" s="98"/>
      <c r="M1037" s="98"/>
      <c r="N1037" s="98"/>
      <c r="O1037" s="98"/>
      <c r="P1037" s="98"/>
      <c r="Q1037" s="98"/>
      <c r="R1037" s="98"/>
    </row>
    <row r="1038" spans="1:18" ht="15" customHeight="1">
      <c r="A1038" s="317" t="s">
        <v>26</v>
      </c>
      <c r="B1038" s="318"/>
      <c r="C1038" s="362" t="s">
        <v>46</v>
      </c>
      <c r="D1038" s="40" t="s">
        <v>23</v>
      </c>
      <c r="E1038" s="69">
        <v>2.473</v>
      </c>
      <c r="G1038" s="101" t="str">
        <f>CONCATENATE(D1038," - ",E1038,", ")</f>
        <v>Brass scrap - 2.473, </v>
      </c>
      <c r="H1038" s="309"/>
      <c r="I1038" s="98" t="str">
        <f ca="1">IF(J1037&gt;=3,(MID(I1037,2,1)&amp;MID(I1037,4,4)-K1037),CELL("address",Z1038))</f>
        <v>G1039</v>
      </c>
      <c r="J1038" s="98" t="str">
        <f ca="1">IF(J1037&gt;=4,(MID(I1038,1,1)&amp;MID(I1038,2,4)+1),CELL("address",AA1038))</f>
        <v>G1040</v>
      </c>
      <c r="K1038" s="98" t="str">
        <f ca="1">IF(J1037&gt;=5,(MID(J1038,1,1)&amp;MID(J1038,2,4)+1),CELL("address",AB1038))</f>
        <v>G1041</v>
      </c>
      <c r="L1038" s="98" t="str">
        <f ca="1">IF(J1037&gt;=6,(MID(K1038,1,1)&amp;MID(K1038,2,4)+1),CELL("address",AC1038))</f>
        <v>G1042</v>
      </c>
      <c r="M1038" s="98" t="str">
        <f ca="1">IF(J1037&gt;=7,(MID(L1038,1,1)&amp;MID(L1038,2,4)+1),CELL("address",AD1038))</f>
        <v>G1043</v>
      </c>
      <c r="N1038" s="98" t="str">
        <f ca="1">IF(J1037&gt;=8,(MID(M1038,1,1)&amp;MID(M1038,2,4)+1),CELL("address",AE1038))</f>
        <v>$AE$1038</v>
      </c>
      <c r="O1038" s="98" t="str">
        <f ca="1">IF(J1037&gt;=9,(MID(N1038,1,1)&amp;MID(N1038,2,4)+1),CELL("address",AF1038))</f>
        <v>$AF$1038</v>
      </c>
      <c r="P1038" s="98" t="str">
        <f ca="1">IF(J1037&gt;=10,(MID(O1038,1,1)&amp;MID(O1038,2,4)+1),CELL("address",AG1038))</f>
        <v>$AG$1038</v>
      </c>
      <c r="Q1038" s="98" t="str">
        <f ca="1">IF(J1037&gt;=11,(MID(P1038,1,1)&amp;MID(P1038,2,4)+1),CELL("address",AH1038))</f>
        <v>$AH$1038</v>
      </c>
      <c r="R1038" s="98" t="str">
        <f ca="1">IF(J1037&gt;=12,(MID(Q1038,1,1)&amp;MID(Q1038,2,4)+1),CELL("address",AI1038))</f>
        <v>$AI$1038</v>
      </c>
    </row>
    <row r="1039" spans="1:15" ht="15" customHeight="1">
      <c r="A1039" s="325"/>
      <c r="B1039" s="326"/>
      <c r="C1039" s="363"/>
      <c r="D1039" s="40" t="s">
        <v>24</v>
      </c>
      <c r="E1039" s="69">
        <v>0.346</v>
      </c>
      <c r="F1039" s="98"/>
      <c r="G1039" s="101" t="str">
        <f>CONCATENATE(D1039," - ",E1039,", ")</f>
        <v>Misc. Aluminium scrap - 0.346, </v>
      </c>
      <c r="H1039" s="98"/>
      <c r="I1039" s="98"/>
      <c r="J1039" s="98"/>
      <c r="K1039" s="98"/>
      <c r="L1039" s="98"/>
      <c r="M1039" s="98"/>
      <c r="N1039" s="98"/>
      <c r="O1039" s="98"/>
    </row>
    <row r="1040" spans="1:15" ht="15" customHeight="1">
      <c r="A1040" s="325"/>
      <c r="B1040" s="326"/>
      <c r="C1040" s="363"/>
      <c r="D1040" s="39" t="s">
        <v>37</v>
      </c>
      <c r="E1040" s="69">
        <v>0.298</v>
      </c>
      <c r="F1040" s="98"/>
      <c r="G1040" s="101" t="str">
        <f>CONCATENATE(D1040," - ",E1040,", ")</f>
        <v>Burnt Cu scrap - 0.298, </v>
      </c>
      <c r="H1040" s="98"/>
      <c r="I1040" s="98" t="e">
        <f ca="1">IF(G1039&gt;=6,(MID(H1040,1,1)&amp;MID(H1040,2,4)+1),CELL("address",Z1040))</f>
        <v>#VALUE!</v>
      </c>
      <c r="J1040" s="98" t="e">
        <f ca="1">IF(G1039&gt;=7,(MID(I1040,1,1)&amp;MID(I1040,2,4)+1),CELL("address",AA1040))</f>
        <v>#VALUE!</v>
      </c>
      <c r="K1040" s="98" t="e">
        <f ca="1">IF(G1039&gt;=8,(MID(J1040,1,1)&amp;MID(J1040,2,4)+1),CELL("address",AB1040))</f>
        <v>#VALUE!</v>
      </c>
      <c r="L1040" s="98" t="e">
        <f ca="1">IF(G1039&gt;=9,(MID(K1040,1,1)&amp;MID(K1040,2,4)+1),CELL("address",AC1040))</f>
        <v>#VALUE!</v>
      </c>
      <c r="M1040" s="98" t="e">
        <f ca="1">IF(G1039&gt;=10,(MID(L1040,1,1)&amp;MID(L1040,2,4)+1),CELL("address",AD1040))</f>
        <v>#VALUE!</v>
      </c>
      <c r="N1040" s="98" t="e">
        <f ca="1">IF(G1039&gt;=11,(MID(M1040,1,1)&amp;MID(M1040,2,4)+1),CELL("address",AE1040))</f>
        <v>#VALUE!</v>
      </c>
      <c r="O1040" s="98" t="e">
        <f ca="1">IF(G1039&gt;=12,(MID(N1040,1,1)&amp;MID(N1040,2,4)+1),CELL("address",AF1040))</f>
        <v>#VALUE!</v>
      </c>
    </row>
    <row r="1041" spans="1:8" ht="15" customHeight="1">
      <c r="A1041" s="325"/>
      <c r="B1041" s="326"/>
      <c r="C1041" s="363"/>
      <c r="D1041" s="45" t="s">
        <v>32</v>
      </c>
      <c r="E1041" s="69">
        <v>0.343</v>
      </c>
      <c r="G1041" s="101" t="str">
        <f>CONCATENATE(D1041," - ",E1041,", ")</f>
        <v>All Alumn. Conductor Scrap - 0.343, </v>
      </c>
      <c r="H1041" s="1"/>
    </row>
    <row r="1042" spans="1:8" ht="15" customHeight="1">
      <c r="A1042" s="327"/>
      <c r="B1042" s="328"/>
      <c r="C1042" s="364"/>
      <c r="D1042" s="40" t="s">
        <v>45</v>
      </c>
      <c r="E1042" s="69">
        <v>0.267</v>
      </c>
      <c r="G1042" s="101" t="str">
        <f>CONCATENATE(D1042," - ",E1042,", ")</f>
        <v>Misc. Copper scrap - 0.267, </v>
      </c>
      <c r="H1042" s="1"/>
    </row>
    <row r="1043" spans="1:8" ht="15" customHeight="1">
      <c r="A1043" s="50"/>
      <c r="B1043" s="59"/>
      <c r="C1043" s="257"/>
      <c r="D1043" s="40"/>
      <c r="E1043" s="69"/>
      <c r="H1043" s="1"/>
    </row>
    <row r="1044" spans="1:15" ht="15" customHeight="1">
      <c r="A1044" s="310"/>
      <c r="B1044" s="311"/>
      <c r="C1044" s="66"/>
      <c r="D1044" s="66"/>
      <c r="E1044" s="118">
        <f>SUM(E1046:E1047)</f>
        <v>2.408</v>
      </c>
      <c r="F1044" s="98"/>
      <c r="G1044" s="98"/>
      <c r="H1044" s="98"/>
      <c r="I1044" s="98"/>
      <c r="J1044" s="98"/>
      <c r="K1044" s="98"/>
      <c r="L1044" s="98"/>
      <c r="M1044" s="98"/>
      <c r="N1044" s="98"/>
      <c r="O1044" s="98"/>
    </row>
    <row r="1045" spans="1:18" ht="15" customHeight="1">
      <c r="A1045" s="306" t="s">
        <v>5</v>
      </c>
      <c r="B1045" s="306"/>
      <c r="C1045" s="64" t="s">
        <v>17</v>
      </c>
      <c r="D1045" s="65" t="s">
        <v>18</v>
      </c>
      <c r="E1045" s="68" t="s">
        <v>7</v>
      </c>
      <c r="F1045" s="98"/>
      <c r="G1045" s="168" t="str">
        <f>CONCATENATE("Misc. Healthy parts/ Non Ferrous  Scrap, Lying at ",C1046,". Quantity in MT - ")</f>
        <v>Misc. Healthy parts/ Non Ferrous  Scrap, Lying at TRY Ferozepur. Quantity in MT - </v>
      </c>
      <c r="H1045" s="309" t="str">
        <f ca="1">CONCATENATE(G1045,G1046,(INDIRECT(I1046)),(INDIRECT(J1046)),(INDIRECT(K1046)),(INDIRECT(L1046)),(INDIRECT(M1046)),(INDIRECT(N1046)),(INDIRECT(O1046)),(INDIRECT(P1046)),(INDIRECT(Q1046)),(INDIRECT(R1046)),".")</f>
        <v>Misc. Healthy parts/ Non Ferrous  Scrap, Lying at TRY Ferozepur. Quantity in MT - Brass scrap - 2.09, Misc. Alumn. Scrap - 0.318, .</v>
      </c>
      <c r="I1045" s="98" t="str">
        <f aca="true" ca="1" t="array" ref="I1045">CELL("address",INDEX(G1045:G1067,MATCH(TRUE,ISBLANK(G1045:G1067),0)))</f>
        <v>$G$1048</v>
      </c>
      <c r="J1045" s="98">
        <f aca="true" t="array" ref="J1045">MATCH(TRUE,ISBLANK(G1045:G1067),0)</f>
        <v>4</v>
      </c>
      <c r="K1045" s="98">
        <f>J1045-3</f>
        <v>1</v>
      </c>
      <c r="L1045" s="98"/>
      <c r="M1045" s="98"/>
      <c r="N1045" s="98"/>
      <c r="O1045" s="98"/>
      <c r="P1045" s="98"/>
      <c r="Q1045" s="98"/>
      <c r="R1045" s="98"/>
    </row>
    <row r="1046" spans="1:18" ht="18" customHeight="1">
      <c r="A1046" s="306" t="s">
        <v>38</v>
      </c>
      <c r="B1046" s="306"/>
      <c r="C1046" s="308" t="s">
        <v>42</v>
      </c>
      <c r="D1046" s="45" t="s">
        <v>23</v>
      </c>
      <c r="E1046" s="119">
        <v>2.09</v>
      </c>
      <c r="G1046" s="101" t="str">
        <f>CONCATENATE(D1046," - ",E1046,", ")</f>
        <v>Brass scrap - 2.09, </v>
      </c>
      <c r="H1046" s="309"/>
      <c r="I1046" s="98" t="str">
        <f ca="1">IF(J1045&gt;=3,(MID(I1045,2,1)&amp;MID(I1045,4,4)-K1045),CELL("address",Z1046))</f>
        <v>G1047</v>
      </c>
      <c r="J1046" s="98" t="str">
        <f ca="1">IF(J1045&gt;=4,(MID(I1046,1,1)&amp;MID(I1046,2,4)+1),CELL("address",AA1046))</f>
        <v>G1048</v>
      </c>
      <c r="K1046" s="98" t="str">
        <f ca="1">IF(J1045&gt;=5,(MID(J1046,1,1)&amp;MID(J1046,2,4)+1),CELL("address",AB1046))</f>
        <v>$AB$1046</v>
      </c>
      <c r="L1046" s="98" t="str">
        <f ca="1">IF(J1045&gt;=6,(MID(K1046,1,1)&amp;MID(K1046,2,4)+1),CELL("address",AC1046))</f>
        <v>$AC$1046</v>
      </c>
      <c r="M1046" s="98" t="str">
        <f ca="1">IF(J1045&gt;=7,(MID(L1046,1,1)&amp;MID(L1046,2,4)+1),CELL("address",AD1046))</f>
        <v>$AD$1046</v>
      </c>
      <c r="N1046" s="98" t="str">
        <f ca="1">IF(J1045&gt;=8,(MID(M1046,1,1)&amp;MID(M1046,2,4)+1),CELL("address",AE1046))</f>
        <v>$AE$1046</v>
      </c>
      <c r="O1046" s="98" t="str">
        <f ca="1">IF(J1045&gt;=9,(MID(N1046,1,1)&amp;MID(N1046,2,4)+1),CELL("address",AF1046))</f>
        <v>$AF$1046</v>
      </c>
      <c r="P1046" s="98" t="str">
        <f ca="1">IF(J1045&gt;=10,(MID(O1046,1,1)&amp;MID(O1046,2,4)+1),CELL("address",AG1046))</f>
        <v>$AG$1046</v>
      </c>
      <c r="Q1046" s="98" t="str">
        <f ca="1">IF(J1045&gt;=11,(MID(P1046,1,1)&amp;MID(P1046,2,4)+1),CELL("address",AH1046))</f>
        <v>$AH$1046</v>
      </c>
      <c r="R1046" s="98" t="str">
        <f ca="1">IF(J1045&gt;=12,(MID(Q1046,1,1)&amp;MID(Q1046,2,4)+1),CELL("address",AI1046))</f>
        <v>$AI$1046</v>
      </c>
    </row>
    <row r="1047" spans="1:8" ht="19.5" customHeight="1">
      <c r="A1047" s="306"/>
      <c r="B1047" s="306"/>
      <c r="C1047" s="308"/>
      <c r="D1047" s="45" t="s">
        <v>31</v>
      </c>
      <c r="E1047" s="119">
        <v>0.318</v>
      </c>
      <c r="G1047" s="101" t="str">
        <f>CONCATENATE(D1047," - ",E1047,", ")</f>
        <v>Misc. Alumn. Scrap - 0.318, </v>
      </c>
      <c r="H1047" s="1"/>
    </row>
    <row r="1048" spans="1:8" ht="15" customHeight="1">
      <c r="A1048" s="304"/>
      <c r="B1048" s="307"/>
      <c r="C1048" s="254"/>
      <c r="D1048" s="45"/>
      <c r="E1048" s="119"/>
      <c r="H1048" s="1"/>
    </row>
    <row r="1049" spans="1:8" ht="15" customHeight="1">
      <c r="A1049" s="310"/>
      <c r="B1049" s="311"/>
      <c r="C1049" s="66"/>
      <c r="D1049" s="66"/>
      <c r="E1049" s="118">
        <f>SUM(E1051:E1054)</f>
        <v>3.033</v>
      </c>
      <c r="H1049" s="1"/>
    </row>
    <row r="1050" spans="1:18" ht="15" customHeight="1">
      <c r="A1050" s="304" t="s">
        <v>5</v>
      </c>
      <c r="B1050" s="307"/>
      <c r="C1050" s="64" t="s">
        <v>17</v>
      </c>
      <c r="D1050" s="65" t="s">
        <v>18</v>
      </c>
      <c r="E1050" s="68" t="s">
        <v>7</v>
      </c>
      <c r="G1050" s="168" t="str">
        <f>CONCATENATE("Misc. Healthy parts/ Non Ferrous  Scrap, Lying at ",C1051,". Quantity in MT - ")</f>
        <v>Misc. Healthy parts/ Non Ferrous  Scrap, Lying at TRY Malerkotla. Quantity in MT - </v>
      </c>
      <c r="H1050" s="309" t="str">
        <f ca="1">CONCATENATE(G1050,G1051,(INDIRECT(I1051)),(INDIRECT(J1051)),(INDIRECT(K1051)),(INDIRECT(L1051)),(INDIRECT(M1051)),(INDIRECT(N1051)),(INDIRECT(O1051)),(INDIRECT(P1051)),(INDIRECT(Q1051)),(INDIRECT(R1051)),".")</f>
        <v>Misc. Healthy parts/ Non Ferrous  Scrap, Lying at TRY Malerkotla. Quantity in MT - Brass scrap - 2.37, Misc. Aluminium scrap - 0.195, Burnt Aluminium scrap - 0.313, Burnt Cu scrap - 0.155, .</v>
      </c>
      <c r="I1050" s="98" t="str">
        <f aca="true" ca="1" t="array" ref="I1050">CELL("address",INDEX(G1050:G1072,MATCH(TRUE,ISBLANK(G1050:G1072),0)))</f>
        <v>$G$1055</v>
      </c>
      <c r="J1050" s="98">
        <f aca="true" t="array" ref="J1050">MATCH(TRUE,ISBLANK(G1050:G1072),0)</f>
        <v>6</v>
      </c>
      <c r="K1050" s="98">
        <f>J1050-3</f>
        <v>3</v>
      </c>
      <c r="L1050" s="98"/>
      <c r="M1050" s="98"/>
      <c r="N1050" s="98"/>
      <c r="O1050" s="98"/>
      <c r="P1050" s="98"/>
      <c r="Q1050" s="98"/>
      <c r="R1050" s="98"/>
    </row>
    <row r="1051" spans="1:18" ht="15" customHeight="1">
      <c r="A1051" s="306" t="s">
        <v>48</v>
      </c>
      <c r="B1051" s="306"/>
      <c r="C1051" s="308" t="s">
        <v>28</v>
      </c>
      <c r="D1051" s="40" t="s">
        <v>23</v>
      </c>
      <c r="E1051" s="69">
        <v>2.37</v>
      </c>
      <c r="F1051" s="98"/>
      <c r="G1051" s="101" t="str">
        <f>CONCATENATE(D1051," - ",E1051,", ")</f>
        <v>Brass scrap - 2.37, </v>
      </c>
      <c r="H1051" s="309"/>
      <c r="I1051" s="98" t="str">
        <f ca="1">IF(J1050&gt;=3,(MID(I1050,2,1)&amp;MID(I1050,4,4)-K1050),CELL("address",Z1051))</f>
        <v>G1052</v>
      </c>
      <c r="J1051" s="98" t="str">
        <f ca="1">IF(J1050&gt;=4,(MID(I1051,1,1)&amp;MID(I1051,2,4)+1),CELL("address",AA1051))</f>
        <v>G1053</v>
      </c>
      <c r="K1051" s="98" t="str">
        <f ca="1">IF(J1050&gt;=5,(MID(J1051,1,1)&amp;MID(J1051,2,4)+1),CELL("address",AB1051))</f>
        <v>G1054</v>
      </c>
      <c r="L1051" s="98" t="str">
        <f ca="1">IF(J1050&gt;=6,(MID(K1051,1,1)&amp;MID(K1051,2,4)+1),CELL("address",AC1051))</f>
        <v>G1055</v>
      </c>
      <c r="M1051" s="98" t="str">
        <f ca="1">IF(J1050&gt;=7,(MID(L1051,1,1)&amp;MID(L1051,2,4)+1),CELL("address",AD1051))</f>
        <v>$AD$1051</v>
      </c>
      <c r="N1051" s="98" t="str">
        <f ca="1">IF(J1050&gt;=8,(MID(M1051,1,1)&amp;MID(M1051,2,4)+1),CELL("address",AE1051))</f>
        <v>$AE$1051</v>
      </c>
      <c r="O1051" s="98" t="str">
        <f ca="1">IF(J1050&gt;=9,(MID(N1051,1,1)&amp;MID(N1051,2,4)+1),CELL("address",AF1051))</f>
        <v>$AF$1051</v>
      </c>
      <c r="P1051" s="98" t="str">
        <f ca="1">IF(J1050&gt;=10,(MID(O1051,1,1)&amp;MID(O1051,2,4)+1),CELL("address",AG1051))</f>
        <v>$AG$1051</v>
      </c>
      <c r="Q1051" s="98" t="str">
        <f ca="1">IF(J1050&gt;=11,(MID(P1051,1,1)&amp;MID(P1051,2,4)+1),CELL("address",AH1051))</f>
        <v>$AH$1051</v>
      </c>
      <c r="R1051" s="98" t="str">
        <f ca="1">IF(J1050&gt;=12,(MID(Q1051,1,1)&amp;MID(Q1051,2,4)+1),CELL("address",AI1051))</f>
        <v>$AI$1051</v>
      </c>
    </row>
    <row r="1052" spans="1:15" ht="15" customHeight="1">
      <c r="A1052" s="306"/>
      <c r="B1052" s="306"/>
      <c r="C1052" s="308"/>
      <c r="D1052" s="40" t="s">
        <v>24</v>
      </c>
      <c r="E1052" s="69">
        <v>0.195</v>
      </c>
      <c r="F1052" s="98"/>
      <c r="G1052" s="101" t="str">
        <f>CONCATENATE(D1052," - ",E1052,", ")</f>
        <v>Misc. Aluminium scrap - 0.195, </v>
      </c>
      <c r="H1052" s="98"/>
      <c r="I1052" s="98" t="e">
        <f ca="1">IF(G1051&gt;=6,(MID(H1052,1,1)&amp;MID(H1052,2,4)+1),CELL("address",Z1052))</f>
        <v>#VALUE!</v>
      </c>
      <c r="J1052" s="98" t="e">
        <f ca="1">IF(G1051&gt;=7,(MID(I1052,1,1)&amp;MID(I1052,2,4)+1),CELL("address",AA1052))</f>
        <v>#VALUE!</v>
      </c>
      <c r="K1052" s="98" t="e">
        <f ca="1">IF(G1051&gt;=8,(MID(J1052,1,1)&amp;MID(J1052,2,4)+1),CELL("address",AB1052))</f>
        <v>#VALUE!</v>
      </c>
      <c r="L1052" s="98" t="e">
        <f ca="1">IF(G1051&gt;=9,(MID(K1052,1,1)&amp;MID(K1052,2,4)+1),CELL("address",AC1052))</f>
        <v>#VALUE!</v>
      </c>
      <c r="M1052" s="98" t="e">
        <f ca="1">IF(G1051&gt;=10,(MID(L1052,1,1)&amp;MID(L1052,2,4)+1),CELL("address",AD1052))</f>
        <v>#VALUE!</v>
      </c>
      <c r="N1052" s="98" t="e">
        <f ca="1">IF(G1051&gt;=11,(MID(M1052,1,1)&amp;MID(M1052,2,4)+1),CELL("address",AE1052))</f>
        <v>#VALUE!</v>
      </c>
      <c r="O1052" s="98" t="e">
        <f ca="1">IF(G1051&gt;=12,(MID(N1052,1,1)&amp;MID(N1052,2,4)+1),CELL("address",AF1052))</f>
        <v>#VALUE!</v>
      </c>
    </row>
    <row r="1053" spans="1:8" ht="15" customHeight="1">
      <c r="A1053" s="306"/>
      <c r="B1053" s="306"/>
      <c r="C1053" s="308"/>
      <c r="D1053" s="40" t="s">
        <v>41</v>
      </c>
      <c r="E1053" s="69">
        <v>0.313</v>
      </c>
      <c r="G1053" s="101" t="str">
        <f>CONCATENATE(D1053," - ",E1053,", ")</f>
        <v>Burnt Aluminium scrap - 0.313, </v>
      </c>
      <c r="H1053" s="1"/>
    </row>
    <row r="1054" spans="1:8" ht="15" customHeight="1">
      <c r="A1054" s="306"/>
      <c r="B1054" s="306"/>
      <c r="C1054" s="308"/>
      <c r="D1054" s="40" t="s">
        <v>37</v>
      </c>
      <c r="E1054" s="68">
        <v>0.155</v>
      </c>
      <c r="G1054" s="101" t="str">
        <f>CONCATENATE(D1054," - ",E1054,", ")</f>
        <v>Burnt Cu scrap - 0.155, </v>
      </c>
      <c r="H1054" s="1"/>
    </row>
    <row r="1055" spans="1:8" ht="15" customHeight="1">
      <c r="A1055" s="39"/>
      <c r="B1055" s="42"/>
      <c r="C1055" s="254"/>
      <c r="D1055" s="40"/>
      <c r="E1055" s="68"/>
      <c r="H1055" s="1"/>
    </row>
    <row r="1056" spans="1:8" ht="15" customHeight="1">
      <c r="A1056" s="310"/>
      <c r="B1056" s="311"/>
      <c r="C1056" s="66"/>
      <c r="D1056" s="66"/>
      <c r="E1056" s="118">
        <f>SUM(E1058:E1061)</f>
        <v>0.418</v>
      </c>
      <c r="H1056" s="1"/>
    </row>
    <row r="1057" spans="1:18" ht="15" customHeight="1">
      <c r="A1057" s="306" t="s">
        <v>5</v>
      </c>
      <c r="B1057" s="306"/>
      <c r="C1057" s="64" t="s">
        <v>17</v>
      </c>
      <c r="D1057" s="65" t="s">
        <v>18</v>
      </c>
      <c r="E1057" s="68" t="s">
        <v>7</v>
      </c>
      <c r="G1057" s="168" t="str">
        <f>CONCATENATE("Misc. Healthy parts/ Non Ferrous  Scrap, Lying at ",C1058,". Quantity in MT - ")</f>
        <v>Misc. Healthy parts/ Non Ferrous  Scrap, Lying at CS Mohali. Quantity in MT - </v>
      </c>
      <c r="H1057" s="309" t="str">
        <f ca="1">CONCATENATE(G1057,G1058,(INDIRECT(I1058)),(INDIRECT(J1058)),(INDIRECT(K1058)),(INDIRECT(L1058)),(INDIRECT(M1058)),(INDIRECT(N1058)),(INDIRECT(O1058)),(INDIRECT(P1058)),(INDIRECT(Q1058)),(INDIRECT(R1058)),".")</f>
        <v>Misc. Healthy parts/ Non Ferrous  Scrap, Lying at CS Mohali. Quantity in MT - Misc. Copper scrap - 0.313, Burnt Cu scrap - 0.041, All Alumn. Conductor Scrap - 0.054, Brass scrap - 0.01, .</v>
      </c>
      <c r="I1057" s="98" t="str">
        <f aca="true" ca="1" t="array" ref="I1057">CELL("address",INDEX(G1057:G1080,MATCH(TRUE,ISBLANK(G1057:G1080),0)))</f>
        <v>$G$1062</v>
      </c>
      <c r="J1057" s="98">
        <f aca="true" t="array" ref="J1057">MATCH(TRUE,ISBLANK(G1057:G1080),0)</f>
        <v>6</v>
      </c>
      <c r="K1057" s="98">
        <f>J1057-3</f>
        <v>3</v>
      </c>
      <c r="L1057" s="98"/>
      <c r="M1057" s="98"/>
      <c r="N1057" s="98"/>
      <c r="O1057" s="98"/>
      <c r="P1057" s="98"/>
      <c r="Q1057" s="98"/>
      <c r="R1057" s="98"/>
    </row>
    <row r="1058" spans="1:18" ht="15" customHeight="1">
      <c r="A1058" s="306" t="s">
        <v>39</v>
      </c>
      <c r="B1058" s="306"/>
      <c r="C1058" s="308" t="s">
        <v>62</v>
      </c>
      <c r="D1058" s="40" t="s">
        <v>45</v>
      </c>
      <c r="E1058" s="69">
        <v>0.313</v>
      </c>
      <c r="F1058" s="98"/>
      <c r="G1058" s="101" t="str">
        <f>CONCATENATE(D1058," - ",E1058,", ")</f>
        <v>Misc. Copper scrap - 0.313, </v>
      </c>
      <c r="H1058" s="309"/>
      <c r="I1058" s="98" t="str">
        <f ca="1">IF(J1057&gt;=3,(MID(I1057,2,1)&amp;MID(I1057,4,4)-K1057),CELL("address",Z1058))</f>
        <v>G1059</v>
      </c>
      <c r="J1058" s="98" t="str">
        <f ca="1">IF(J1057&gt;=4,(MID(I1058,1,1)&amp;MID(I1058,2,4)+1),CELL("address",AA1058))</f>
        <v>G1060</v>
      </c>
      <c r="K1058" s="98" t="str">
        <f ca="1">IF(J1057&gt;=5,(MID(J1058,1,1)&amp;MID(J1058,2,4)+1),CELL("address",AB1058))</f>
        <v>G1061</v>
      </c>
      <c r="L1058" s="98" t="str">
        <f ca="1">IF(J1057&gt;=6,(MID(K1058,1,1)&amp;MID(K1058,2,4)+1),CELL("address",AC1058))</f>
        <v>G1062</v>
      </c>
      <c r="M1058" s="98" t="str">
        <f ca="1">IF(J1057&gt;=7,(MID(L1058,1,1)&amp;MID(L1058,2,4)+1),CELL("address",AD1058))</f>
        <v>$AD$1058</v>
      </c>
      <c r="N1058" s="98" t="str">
        <f ca="1">IF(J1057&gt;=8,(MID(M1058,1,1)&amp;MID(M1058,2,4)+1),CELL("address",AE1058))</f>
        <v>$AE$1058</v>
      </c>
      <c r="O1058" s="98" t="str">
        <f ca="1">IF(J1057&gt;=9,(MID(N1058,1,1)&amp;MID(N1058,2,4)+1),CELL("address",AF1058))</f>
        <v>$AF$1058</v>
      </c>
      <c r="P1058" s="98" t="str">
        <f ca="1">IF(J1057&gt;=10,(MID(O1058,1,1)&amp;MID(O1058,2,4)+1),CELL("address",AG1058))</f>
        <v>$AG$1058</v>
      </c>
      <c r="Q1058" s="98" t="str">
        <f ca="1">IF(J1057&gt;=11,(MID(P1058,1,1)&amp;MID(P1058,2,4)+1),CELL("address",AH1058))</f>
        <v>$AH$1058</v>
      </c>
      <c r="R1058" s="98" t="str">
        <f ca="1">IF(J1057&gt;=12,(MID(Q1058,1,1)&amp;MID(Q1058,2,4)+1),CELL("address",AI1058))</f>
        <v>$AI$1058</v>
      </c>
    </row>
    <row r="1059" spans="1:15" ht="15" customHeight="1">
      <c r="A1059" s="306"/>
      <c r="B1059" s="306"/>
      <c r="C1059" s="308"/>
      <c r="D1059" s="39" t="s">
        <v>37</v>
      </c>
      <c r="E1059" s="69">
        <v>0.041</v>
      </c>
      <c r="F1059" s="98"/>
      <c r="G1059" s="101" t="str">
        <f>CONCATENATE(D1059," - ",E1059,", ")</f>
        <v>Burnt Cu scrap - 0.041, </v>
      </c>
      <c r="H1059" s="98"/>
      <c r="I1059" s="98" t="e">
        <f ca="1">IF(G1058&gt;=6,(MID(H1059,1,1)&amp;MID(H1059,2,4)+1),CELL("address",Z1059))</f>
        <v>#VALUE!</v>
      </c>
      <c r="J1059" s="98" t="e">
        <f ca="1">IF(G1058&gt;=7,(MID(I1059,1,1)&amp;MID(I1059,2,4)+1),CELL("address",AA1059))</f>
        <v>#VALUE!</v>
      </c>
      <c r="K1059" s="98" t="e">
        <f ca="1">IF(G1058&gt;=8,(MID(J1059,1,1)&amp;MID(J1059,2,4)+1),CELL("address",AB1059))</f>
        <v>#VALUE!</v>
      </c>
      <c r="L1059" s="98" t="e">
        <f ca="1">IF(G1058&gt;=9,(MID(K1059,1,1)&amp;MID(K1059,2,4)+1),CELL("address",AC1059))</f>
        <v>#VALUE!</v>
      </c>
      <c r="M1059" s="98" t="e">
        <f ca="1">IF(G1058&gt;=10,(MID(L1059,1,1)&amp;MID(L1059,2,4)+1),CELL("address",AD1059))</f>
        <v>#VALUE!</v>
      </c>
      <c r="N1059" s="98" t="e">
        <f ca="1">IF(G1058&gt;=11,(MID(M1059,1,1)&amp;MID(M1059,2,4)+1),CELL("address",AE1059))</f>
        <v>#VALUE!</v>
      </c>
      <c r="O1059" s="98" t="e">
        <f ca="1">IF(G1058&gt;=12,(MID(N1059,1,1)&amp;MID(N1059,2,4)+1),CELL("address",AF1059))</f>
        <v>#VALUE!</v>
      </c>
    </row>
    <row r="1060" spans="1:8" ht="15" customHeight="1">
      <c r="A1060" s="306"/>
      <c r="B1060" s="306"/>
      <c r="C1060" s="308"/>
      <c r="D1060" s="45" t="s">
        <v>32</v>
      </c>
      <c r="E1060" s="69">
        <v>0.054</v>
      </c>
      <c r="G1060" s="101" t="str">
        <f>CONCATENATE(D1060," - ",E1060,", ")</f>
        <v>All Alumn. Conductor Scrap - 0.054, </v>
      </c>
      <c r="H1060" s="1"/>
    </row>
    <row r="1061" spans="1:8" ht="15" customHeight="1">
      <c r="A1061" s="306"/>
      <c r="B1061" s="306"/>
      <c r="C1061" s="308"/>
      <c r="D1061" s="40" t="s">
        <v>23</v>
      </c>
      <c r="E1061" s="69">
        <v>0.01</v>
      </c>
      <c r="G1061" s="101" t="str">
        <f>CONCATENATE(D1061," - ",E1061,", ")</f>
        <v>Brass scrap - 0.01, </v>
      </c>
      <c r="H1061" s="1"/>
    </row>
    <row r="1062" spans="1:15" ht="15" customHeight="1">
      <c r="A1062" s="39"/>
      <c r="B1062" s="42"/>
      <c r="C1062" s="254"/>
      <c r="D1062" s="40"/>
      <c r="E1062" s="69"/>
      <c r="F1062" s="98"/>
      <c r="G1062" s="98"/>
      <c r="H1062" s="98"/>
      <c r="I1062" s="98"/>
      <c r="J1062" s="98"/>
      <c r="K1062" s="98"/>
      <c r="L1062" s="98"/>
      <c r="M1062" s="98"/>
      <c r="N1062" s="98"/>
      <c r="O1062" s="98"/>
    </row>
    <row r="1063" spans="1:15" ht="15" customHeight="1">
      <c r="A1063" s="304"/>
      <c r="B1063" s="307"/>
      <c r="C1063" s="254"/>
      <c r="D1063" s="40"/>
      <c r="E1063" s="118">
        <f>E1065</f>
        <v>0.092</v>
      </c>
      <c r="F1063" s="194"/>
      <c r="G1063" s="98"/>
      <c r="H1063" s="98"/>
      <c r="I1063" s="98" t="str">
        <f ca="1">IF(G1062&gt;=6,(MID(H1063,1,1)&amp;MID(H1063,2,4)+1),CELL("address",Z1063))</f>
        <v>$Z$1063</v>
      </c>
      <c r="J1063" s="98" t="str">
        <f ca="1">IF(G1062&gt;=7,(MID(I1063,1,1)&amp;MID(I1063,2,4)+1),CELL("address",AA1063))</f>
        <v>$AA$1063</v>
      </c>
      <c r="K1063" s="98" t="str">
        <f ca="1">IF(G1062&gt;=8,(MID(J1063,1,1)&amp;MID(J1063,2,4)+1),CELL("address",AB1063))</f>
        <v>$AB$1063</v>
      </c>
      <c r="L1063" s="98" t="str">
        <f ca="1">IF(G1062&gt;=9,(MID(K1063,1,1)&amp;MID(K1063,2,4)+1),CELL("address",AC1063))</f>
        <v>$AC$1063</v>
      </c>
      <c r="M1063" s="98" t="str">
        <f ca="1">IF(G1062&gt;=10,(MID(L1063,1,1)&amp;MID(L1063,2,4)+1),CELL("address",AD1063))</f>
        <v>$AD$1063</v>
      </c>
      <c r="N1063" s="98" t="str">
        <f ca="1">IF(G1062&gt;=11,(MID(M1063,1,1)&amp;MID(M1063,2,4)+1),CELL("address",AE1063))</f>
        <v>$AE$1063</v>
      </c>
      <c r="O1063" s="98" t="str">
        <f ca="1">IF(G1062&gt;=12,(MID(N1063,1,1)&amp;MID(N1063,2,4)+1),CELL("address",AF1063))</f>
        <v>$AF$1063</v>
      </c>
    </row>
    <row r="1064" spans="1:18" ht="15" customHeight="1">
      <c r="A1064" s="306" t="s">
        <v>5</v>
      </c>
      <c r="B1064" s="306"/>
      <c r="C1064" s="64" t="s">
        <v>17</v>
      </c>
      <c r="D1064" s="65" t="s">
        <v>18</v>
      </c>
      <c r="E1064" s="68" t="s">
        <v>7</v>
      </c>
      <c r="G1064" s="168" t="str">
        <f>CONCATENATE("Misc. Healthy parts/ Non Ferrous  Scrap, Lying at ",C1065,". Quantity in MT - ")</f>
        <v>Misc. Healthy parts/ Non Ferrous  Scrap, Lying at OL store Patran. Quantity in MT - </v>
      </c>
      <c r="H1064" s="309" t="str">
        <f ca="1">CONCATENATE(G1064,G1065,(INDIRECT(I1065)),(INDIRECT(J1065)),(INDIRECT(K1065)),(INDIRECT(L1065)),(INDIRECT(M1065)),(INDIRECT(N1065)),(INDIRECT(O1065)),(INDIRECT(P1065)),(INDIRECT(Q1065)),(INDIRECT(R1065)),".")</f>
        <v>Misc. Healthy parts/ Non Ferrous  Scrap, Lying at OL store Patran. Quantity in MT - Misc. Copper scrap - 0.092, .</v>
      </c>
      <c r="I1064" s="98" t="str">
        <f aca="true" ca="1" t="array" ref="I1064">CELL("address",INDEX(G1064:G1087,MATCH(TRUE,ISBLANK(G1064:G1087),0)))</f>
        <v>$G$1066</v>
      </c>
      <c r="J1064" s="98">
        <f aca="true" t="array" ref="J1064">MATCH(TRUE,ISBLANK(G1064:G1087),0)</f>
        <v>3</v>
      </c>
      <c r="K1064" s="98">
        <f>J1064-3</f>
        <v>0</v>
      </c>
      <c r="L1064" s="98"/>
      <c r="M1064" s="98"/>
      <c r="N1064" s="98"/>
      <c r="O1064" s="98"/>
      <c r="P1064" s="98"/>
      <c r="Q1064" s="98"/>
      <c r="R1064" s="98"/>
    </row>
    <row r="1065" spans="1:18" ht="15" customHeight="1">
      <c r="A1065" s="306" t="s">
        <v>40</v>
      </c>
      <c r="B1065" s="306"/>
      <c r="C1065" s="254" t="s">
        <v>101</v>
      </c>
      <c r="D1065" s="40" t="s">
        <v>45</v>
      </c>
      <c r="E1065" s="69">
        <v>0.092</v>
      </c>
      <c r="G1065" s="101" t="str">
        <f>CONCATENATE(D1065," - ",E1065,", ")</f>
        <v>Misc. Copper scrap - 0.092, </v>
      </c>
      <c r="H1065" s="309"/>
      <c r="I1065" s="98" t="str">
        <f ca="1">IF(J1064&gt;=3,(MID(I1064,2,1)&amp;MID(I1064,4,4)-K1064),CELL("address",Z1065))</f>
        <v>G1066</v>
      </c>
      <c r="J1065" s="98" t="str">
        <f ca="1">IF(J1064&gt;=4,(MID(I1065,1,1)&amp;MID(I1065,2,4)+1),CELL("address",AA1065))</f>
        <v>$AA$1065</v>
      </c>
      <c r="K1065" s="98" t="str">
        <f ca="1">IF(J1064&gt;=5,(MID(J1065,1,1)&amp;MID(J1065,2,4)+1),CELL("address",AB1065))</f>
        <v>$AB$1065</v>
      </c>
      <c r="L1065" s="98" t="str">
        <f ca="1">IF(J1064&gt;=6,(MID(K1065,1,1)&amp;MID(K1065,2,4)+1),CELL("address",AC1065))</f>
        <v>$AC$1065</v>
      </c>
      <c r="M1065" s="98" t="str">
        <f ca="1">IF(J1064&gt;=7,(MID(L1065,1,1)&amp;MID(L1065,2,4)+1),CELL("address",AD1065))</f>
        <v>$AD$1065</v>
      </c>
      <c r="N1065" s="98" t="str">
        <f ca="1">IF(J1064&gt;=8,(MID(M1065,1,1)&amp;MID(M1065,2,4)+1),CELL("address",AE1065))</f>
        <v>$AE$1065</v>
      </c>
      <c r="O1065" s="98" t="str">
        <f ca="1">IF(J1064&gt;=9,(MID(N1065,1,1)&amp;MID(N1065,2,4)+1),CELL("address",AF1065))</f>
        <v>$AF$1065</v>
      </c>
      <c r="P1065" s="98" t="str">
        <f ca="1">IF(J1064&gt;=10,(MID(O1065,1,1)&amp;MID(O1065,2,4)+1),CELL("address",AG1065))</f>
        <v>$AG$1065</v>
      </c>
      <c r="Q1065" s="98" t="str">
        <f ca="1">IF(J1064&gt;=11,(MID(P1065,1,1)&amp;MID(P1065,2,4)+1),CELL("address",AH1065))</f>
        <v>$AH$1065</v>
      </c>
      <c r="R1065" s="98" t="str">
        <f ca="1">IF(J1064&gt;=12,(MID(Q1065,1,1)&amp;MID(Q1065,2,4)+1),CELL("address",AI1065))</f>
        <v>$AI$1065</v>
      </c>
    </row>
    <row r="1066" spans="1:8" ht="15" customHeight="1">
      <c r="A1066" s="50"/>
      <c r="B1066" s="59"/>
      <c r="C1066" s="257"/>
      <c r="D1066" s="40"/>
      <c r="E1066" s="46"/>
      <c r="H1066" s="1"/>
    </row>
    <row r="1067" spans="1:8" ht="15" customHeight="1">
      <c r="A1067" s="50"/>
      <c r="B1067" s="59"/>
      <c r="C1067" s="257"/>
      <c r="D1067" s="45"/>
      <c r="E1067" s="67">
        <f>SUM(E1069:E1073)</f>
        <v>1.0750000000000002</v>
      </c>
      <c r="F1067" s="120"/>
      <c r="H1067" s="1"/>
    </row>
    <row r="1068" spans="1:18" ht="15" customHeight="1">
      <c r="A1068" s="306" t="s">
        <v>5</v>
      </c>
      <c r="B1068" s="306"/>
      <c r="C1068" s="64" t="s">
        <v>17</v>
      </c>
      <c r="D1068" s="65" t="s">
        <v>18</v>
      </c>
      <c r="E1068" s="64" t="s">
        <v>7</v>
      </c>
      <c r="G1068" s="168" t="str">
        <f>CONCATENATE("Misc. Healthy parts/ Non Ferrous  Scrap, Lying at ",C1069,". Quantity in MT - ")</f>
        <v>Misc. Healthy parts/ Non Ferrous  Scrap, Lying at CS Patiala. Quantity in MT - </v>
      </c>
      <c r="H1068" s="309" t="str">
        <f ca="1">CONCATENATE(G1068,G1069,(INDIRECT(I1069)),(INDIRECT(J1069)),(INDIRECT(K1069)),(INDIRECT(L1069)),(INDIRECT(M1069)),(INDIRECT(N1069)),(INDIRECT(O1069)),(INDIRECT(P1069)),(INDIRECT(Q1069)),(INDIRECT(R1069)),".")</f>
        <v>Misc. Healthy parts/ Non Ferrous  Scrap, Lying at CS Patiala. Quantity in MT - Misc. Alumn. Scrap - 0.105, Misc. copper scrap - 0.219, Burnt copper scrap - 0.022, Brass scrap - 0.653, All Alumn. Conductor Scrap - 0.076, .</v>
      </c>
      <c r="I1068" s="98" t="str">
        <f aca="true" ca="1" t="array" ref="I1068">CELL("address",INDEX(G1068:G1091,MATCH(TRUE,ISBLANK(G1068:G1091),0)))</f>
        <v>$G$1074</v>
      </c>
      <c r="J1068" s="98">
        <f aca="true" t="array" ref="J1068">MATCH(TRUE,ISBLANK(G1068:G1091),0)</f>
        <v>7</v>
      </c>
      <c r="K1068" s="98">
        <f>J1068-3</f>
        <v>4</v>
      </c>
      <c r="L1068" s="98"/>
      <c r="M1068" s="98"/>
      <c r="N1068" s="98"/>
      <c r="O1068" s="98"/>
      <c r="P1068" s="98"/>
      <c r="Q1068" s="98"/>
      <c r="R1068" s="98"/>
    </row>
    <row r="1069" spans="1:18" ht="15" customHeight="1">
      <c r="A1069" s="306" t="s">
        <v>80</v>
      </c>
      <c r="B1069" s="306"/>
      <c r="C1069" s="308" t="s">
        <v>52</v>
      </c>
      <c r="D1069" s="60" t="s">
        <v>31</v>
      </c>
      <c r="E1069" s="47">
        <v>0.105</v>
      </c>
      <c r="F1069" s="98"/>
      <c r="G1069" s="101" t="str">
        <f>CONCATENATE(D1069," - ",E1069,", ")</f>
        <v>Misc. Alumn. Scrap - 0.105, </v>
      </c>
      <c r="H1069" s="309"/>
      <c r="I1069" s="98" t="str">
        <f ca="1">IF(J1068&gt;=3,(MID(I1068,2,1)&amp;MID(I1068,4,4)-K1068),CELL("address",Z1069))</f>
        <v>G1070</v>
      </c>
      <c r="J1069" s="98" t="str">
        <f ca="1">IF(J1068&gt;=4,(MID(I1069,1,1)&amp;MID(I1069,2,4)+1),CELL("address",AA1069))</f>
        <v>G1071</v>
      </c>
      <c r="K1069" s="98" t="str">
        <f ca="1">IF(J1068&gt;=5,(MID(J1069,1,1)&amp;MID(J1069,2,4)+1),CELL("address",AB1069))</f>
        <v>G1072</v>
      </c>
      <c r="L1069" s="98" t="str">
        <f ca="1">IF(J1068&gt;=6,(MID(K1069,1,1)&amp;MID(K1069,2,4)+1),CELL("address",AC1069))</f>
        <v>G1073</v>
      </c>
      <c r="M1069" s="98" t="str">
        <f ca="1">IF(J1068&gt;=7,(MID(L1069,1,1)&amp;MID(L1069,2,4)+1),CELL("address",AD1069))</f>
        <v>G1074</v>
      </c>
      <c r="N1069" s="98" t="str">
        <f ca="1">IF(J1068&gt;=8,(MID(M1069,1,1)&amp;MID(M1069,2,4)+1),CELL("address",AE1069))</f>
        <v>$AE$1069</v>
      </c>
      <c r="O1069" s="98" t="str">
        <f ca="1">IF(J1068&gt;=9,(MID(N1069,1,1)&amp;MID(N1069,2,4)+1),CELL("address",AF1069))</f>
        <v>$AF$1069</v>
      </c>
      <c r="P1069" s="98" t="str">
        <f ca="1">IF(J1068&gt;=10,(MID(O1069,1,1)&amp;MID(O1069,2,4)+1),CELL("address",AG1069))</f>
        <v>$AG$1069</v>
      </c>
      <c r="Q1069" s="98" t="str">
        <f ca="1">IF(J1068&gt;=11,(MID(P1069,1,1)&amp;MID(P1069,2,4)+1),CELL("address",AH1069))</f>
        <v>$AH$1069</v>
      </c>
      <c r="R1069" s="98" t="str">
        <f ca="1">IF(J1068&gt;=12,(MID(Q1069,1,1)&amp;MID(Q1069,2,4)+1),CELL("address",AI1069))</f>
        <v>$AI$1069</v>
      </c>
    </row>
    <row r="1070" spans="1:15" ht="15" customHeight="1">
      <c r="A1070" s="306"/>
      <c r="B1070" s="306"/>
      <c r="C1070" s="308"/>
      <c r="D1070" s="60" t="s">
        <v>111</v>
      </c>
      <c r="E1070" s="64">
        <v>0.219</v>
      </c>
      <c r="F1070" s="98"/>
      <c r="G1070" s="101" t="str">
        <f>CONCATENATE(D1070," - ",E1070,", ")</f>
        <v>Misc. copper scrap - 0.219, </v>
      </c>
      <c r="H1070" s="98"/>
      <c r="I1070" s="98" t="e">
        <f ca="1">IF(G1069&gt;=6,(MID(H1070,1,1)&amp;MID(H1070,2,4)+1),CELL("address",Z1070))</f>
        <v>#VALUE!</v>
      </c>
      <c r="J1070" s="98" t="e">
        <f ca="1">IF(G1069&gt;=7,(MID(I1070,1,1)&amp;MID(I1070,2,4)+1),CELL("address",AA1070))</f>
        <v>#VALUE!</v>
      </c>
      <c r="K1070" s="98" t="e">
        <f ca="1">IF(G1069&gt;=8,(MID(J1070,1,1)&amp;MID(J1070,2,4)+1),CELL("address",AB1070))</f>
        <v>#VALUE!</v>
      </c>
      <c r="L1070" s="98" t="e">
        <f ca="1">IF(G1069&gt;=9,(MID(K1070,1,1)&amp;MID(K1070,2,4)+1),CELL("address",AC1070))</f>
        <v>#VALUE!</v>
      </c>
      <c r="M1070" s="98" t="e">
        <f ca="1">IF(G1069&gt;=10,(MID(L1070,1,1)&amp;MID(L1070,2,4)+1),CELL("address",AD1070))</f>
        <v>#VALUE!</v>
      </c>
      <c r="N1070" s="98" t="e">
        <f ca="1">IF(G1069&gt;=11,(MID(M1070,1,1)&amp;MID(M1070,2,4)+1),CELL("address",AE1070))</f>
        <v>#VALUE!</v>
      </c>
      <c r="O1070" s="98" t="e">
        <f ca="1">IF(G1069&gt;=12,(MID(N1070,1,1)&amp;MID(N1070,2,4)+1),CELL("address",AF1070))</f>
        <v>#VALUE!</v>
      </c>
    </row>
    <row r="1071" spans="1:8" ht="15" customHeight="1">
      <c r="A1071" s="306"/>
      <c r="B1071" s="306"/>
      <c r="C1071" s="308"/>
      <c r="D1071" s="60" t="s">
        <v>47</v>
      </c>
      <c r="E1071" s="64">
        <v>0.022</v>
      </c>
      <c r="G1071" s="101" t="str">
        <f>CONCATENATE(D1071," - ",E1071,", ")</f>
        <v>Burnt copper scrap - 0.022, </v>
      </c>
      <c r="H1071" s="1"/>
    </row>
    <row r="1072" spans="1:8" ht="15" customHeight="1">
      <c r="A1072" s="306"/>
      <c r="B1072" s="306"/>
      <c r="C1072" s="308"/>
      <c r="D1072" s="40" t="s">
        <v>23</v>
      </c>
      <c r="E1072" s="64">
        <v>0.653</v>
      </c>
      <c r="G1072" s="101" t="str">
        <f>CONCATENATE(D1072," - ",E1072,", ")</f>
        <v>Brass scrap - 0.653, </v>
      </c>
      <c r="H1072" s="1"/>
    </row>
    <row r="1073" spans="1:8" ht="15" customHeight="1">
      <c r="A1073" s="306"/>
      <c r="B1073" s="306"/>
      <c r="C1073" s="308"/>
      <c r="D1073" s="45" t="s">
        <v>32</v>
      </c>
      <c r="E1073" s="64">
        <v>0.076</v>
      </c>
      <c r="G1073" s="92" t="str">
        <f>CONCATENATE(D1073," - ",E1073,", ")</f>
        <v>All Alumn. Conductor Scrap - 0.076, </v>
      </c>
      <c r="H1073" s="1"/>
    </row>
    <row r="1074" spans="1:8" ht="15" customHeight="1">
      <c r="A1074" s="202"/>
      <c r="B1074" s="203"/>
      <c r="C1074" s="201"/>
      <c r="D1074" s="60"/>
      <c r="E1074" s="64"/>
      <c r="H1074" s="1"/>
    </row>
    <row r="1075" spans="1:8" ht="15" customHeight="1">
      <c r="A1075" s="310"/>
      <c r="B1075" s="311"/>
      <c r="C1075" s="66"/>
      <c r="D1075" s="66"/>
      <c r="E1075" s="67">
        <f>SUM(E1077:E1084)</f>
        <v>4.923</v>
      </c>
      <c r="H1075" s="1"/>
    </row>
    <row r="1076" spans="1:18" ht="15" customHeight="1">
      <c r="A1076" s="317" t="s">
        <v>5</v>
      </c>
      <c r="B1076" s="318"/>
      <c r="C1076" s="64" t="s">
        <v>17</v>
      </c>
      <c r="D1076" s="65" t="s">
        <v>18</v>
      </c>
      <c r="E1076" s="68" t="s">
        <v>7</v>
      </c>
      <c r="G1076" s="168" t="str">
        <f>CONCATENATE("Misc. Healthy parts/ Non Ferrous  Scrap, Lying at ",C1077,". Quantity in MT - ")</f>
        <v>Misc. Healthy parts/ Non Ferrous  Scrap, Lying at CS Kotkapura. Quantity in MT - </v>
      </c>
      <c r="H1076" s="309" t="str">
        <f ca="1">CONCATENATE(G1076,G1077,(INDIRECT(I1077)),(INDIRECT(J1077)),(INDIRECT(K1077)),(INDIRECT(L1077)),(INDIRECT(M1077)),(INDIRECT(N1077)),(INDIRECT(O1077)),(INDIRECT(P1077)),(INDIRECT(Q1077)),(INDIRECT(R1077)),".")</f>
        <v>Misc. Healthy parts/ Non Ferrous  Scrap, Lying at CS Kotkapura. Quantity in MT - Brass scrap - 4.046, Misc. Copper scrap - 0.066, Burnt Cu scrap - 0.325, Misc. Aluminium scrap - 0.205, Burnt Aluminium scrap - 0.055, All Alum scrap - 0.09, Alu scrap of damaged T/F accessories - 0.096, Copper scrap - 0.04, .</v>
      </c>
      <c r="I1076" s="98" t="str">
        <f aca="true" ca="1" t="array" ref="I1076">CELL("address",INDEX(G1076:G1098,MATCH(TRUE,ISBLANK(G1076:G1098),0)))</f>
        <v>$G$1085</v>
      </c>
      <c r="J1076" s="98">
        <f aca="true" t="array" ref="J1076">MATCH(TRUE,ISBLANK(G1076:G1098),0)</f>
        <v>10</v>
      </c>
      <c r="K1076" s="98">
        <f>J1076-3</f>
        <v>7</v>
      </c>
      <c r="L1076" s="98"/>
      <c r="M1076" s="98"/>
      <c r="N1076" s="98"/>
      <c r="O1076" s="98"/>
      <c r="P1076" s="98"/>
      <c r="Q1076" s="98"/>
      <c r="R1076" s="98"/>
    </row>
    <row r="1077" spans="1:18" ht="15" customHeight="1">
      <c r="A1077" s="306" t="s">
        <v>514</v>
      </c>
      <c r="B1077" s="306"/>
      <c r="C1077" s="308" t="s">
        <v>43</v>
      </c>
      <c r="D1077" s="40" t="s">
        <v>23</v>
      </c>
      <c r="E1077" s="69">
        <v>4.046</v>
      </c>
      <c r="G1077" s="101" t="str">
        <f aca="true" t="shared" si="8" ref="G1077:G1084">CONCATENATE(D1077," - ",E1077,", ")</f>
        <v>Brass scrap - 4.046, </v>
      </c>
      <c r="H1077" s="309"/>
      <c r="I1077" s="98" t="str">
        <f ca="1">IF(J1076&gt;=3,(MID(I1076,2,1)&amp;MID(I1076,4,4)-K1076),CELL("address",Z1077))</f>
        <v>G1078</v>
      </c>
      <c r="J1077" s="98" t="str">
        <f ca="1">IF(J1076&gt;=4,(MID(I1077,1,1)&amp;MID(I1077,2,4)+1),CELL("address",AA1077))</f>
        <v>G1079</v>
      </c>
      <c r="K1077" s="98" t="str">
        <f ca="1">IF(J1076&gt;=5,(MID(J1077,1,1)&amp;MID(J1077,2,4)+1),CELL("address",AB1077))</f>
        <v>G1080</v>
      </c>
      <c r="L1077" s="98" t="str">
        <f ca="1">IF(J1076&gt;=6,(MID(K1077,1,1)&amp;MID(K1077,2,4)+1),CELL("address",AC1077))</f>
        <v>G1081</v>
      </c>
      <c r="M1077" s="98" t="str">
        <f ca="1">IF(J1076&gt;=7,(MID(L1077,1,1)&amp;MID(L1077,2,4)+1),CELL("address",AD1077))</f>
        <v>G1082</v>
      </c>
      <c r="N1077" s="98" t="str">
        <f ca="1">IF(J1076&gt;=8,(MID(M1077,1,1)&amp;MID(M1077,2,4)+1),CELL("address",AE1077))</f>
        <v>G1083</v>
      </c>
      <c r="O1077" s="98" t="str">
        <f ca="1">IF(J1076&gt;=9,(MID(N1077,1,1)&amp;MID(N1077,2,4)+1),CELL("address",AF1077))</f>
        <v>G1084</v>
      </c>
      <c r="P1077" s="98" t="str">
        <f ca="1">IF(J1076&gt;=10,(MID(O1077,1,1)&amp;MID(O1077,2,4)+1),CELL("address",AG1077))</f>
        <v>G1085</v>
      </c>
      <c r="Q1077" s="98" t="str">
        <f ca="1">IF(J1076&gt;=11,(MID(P1077,1,1)&amp;MID(P1077,2,4)+1),CELL("address",AH1077))</f>
        <v>$AH$1077</v>
      </c>
      <c r="R1077" s="98" t="str">
        <f ca="1">IF(J1076&gt;=12,(MID(Q1077,1,1)&amp;MID(Q1077,2,4)+1),CELL("address",AI1077))</f>
        <v>$AI$1077</v>
      </c>
    </row>
    <row r="1078" spans="1:8" ht="15" customHeight="1">
      <c r="A1078" s="306"/>
      <c r="B1078" s="306"/>
      <c r="C1078" s="308"/>
      <c r="D1078" s="40" t="s">
        <v>45</v>
      </c>
      <c r="E1078" s="69">
        <v>0.066</v>
      </c>
      <c r="G1078" s="101" t="str">
        <f t="shared" si="8"/>
        <v>Misc. Copper scrap - 0.066, </v>
      </c>
      <c r="H1078" s="1"/>
    </row>
    <row r="1079" spans="1:8" ht="15" customHeight="1">
      <c r="A1079" s="306"/>
      <c r="B1079" s="306"/>
      <c r="C1079" s="308"/>
      <c r="D1079" s="39" t="s">
        <v>37</v>
      </c>
      <c r="E1079" s="69">
        <v>0.325</v>
      </c>
      <c r="G1079" s="101" t="str">
        <f t="shared" si="8"/>
        <v>Burnt Cu scrap - 0.325, </v>
      </c>
      <c r="H1079" s="1"/>
    </row>
    <row r="1080" spans="1:8" ht="15" customHeight="1">
      <c r="A1080" s="306"/>
      <c r="B1080" s="306"/>
      <c r="C1080" s="308"/>
      <c r="D1080" s="40" t="s">
        <v>24</v>
      </c>
      <c r="E1080" s="69">
        <v>0.205</v>
      </c>
      <c r="G1080" s="101" t="str">
        <f t="shared" si="8"/>
        <v>Misc. Aluminium scrap - 0.205, </v>
      </c>
      <c r="H1080" s="1"/>
    </row>
    <row r="1081" spans="1:15" ht="15" customHeight="1">
      <c r="A1081" s="306"/>
      <c r="B1081" s="306"/>
      <c r="C1081" s="308"/>
      <c r="D1081" s="39" t="s">
        <v>41</v>
      </c>
      <c r="E1081" s="69">
        <v>0.055</v>
      </c>
      <c r="F1081" s="98"/>
      <c r="G1081" s="101" t="str">
        <f t="shared" si="8"/>
        <v>Burnt Aluminium scrap - 0.055, </v>
      </c>
      <c r="H1081" s="98"/>
      <c r="I1081" s="98"/>
      <c r="J1081" s="98"/>
      <c r="K1081" s="98"/>
      <c r="L1081" s="98"/>
      <c r="M1081" s="98"/>
      <c r="N1081" s="98"/>
      <c r="O1081" s="98"/>
    </row>
    <row r="1082" spans="1:15" ht="15" customHeight="1">
      <c r="A1082" s="306"/>
      <c r="B1082" s="306"/>
      <c r="C1082" s="308"/>
      <c r="D1082" s="39" t="s">
        <v>344</v>
      </c>
      <c r="E1082" s="69">
        <v>0.09</v>
      </c>
      <c r="F1082" s="98"/>
      <c r="G1082" s="101" t="str">
        <f t="shared" si="8"/>
        <v>All Alum scrap - 0.09, </v>
      </c>
      <c r="H1082" s="98"/>
      <c r="I1082" s="98" t="e">
        <f ca="1">IF(G1081&gt;=6,(MID(H1082,1,1)&amp;MID(H1082,2,4)+1),CELL("address",Z1082))</f>
        <v>#VALUE!</v>
      </c>
      <c r="J1082" s="98" t="e">
        <f ca="1">IF(G1081&gt;=7,(MID(I1082,1,1)&amp;MID(I1082,2,4)+1),CELL("address",AA1082))</f>
        <v>#VALUE!</v>
      </c>
      <c r="K1082" s="98" t="e">
        <f ca="1">IF(G1081&gt;=8,(MID(J1082,1,1)&amp;MID(J1082,2,4)+1),CELL("address",AB1082))</f>
        <v>#VALUE!</v>
      </c>
      <c r="L1082" s="98" t="e">
        <f ca="1">IF(G1081&gt;=9,(MID(K1082,1,1)&amp;MID(K1082,2,4)+1),CELL("address",AC1082))</f>
        <v>#VALUE!</v>
      </c>
      <c r="M1082" s="98" t="e">
        <f ca="1">IF(G1081&gt;=10,(MID(L1082,1,1)&amp;MID(L1082,2,4)+1),CELL("address",AD1082))</f>
        <v>#VALUE!</v>
      </c>
      <c r="N1082" s="98" t="e">
        <f ca="1">IF(G1081&gt;=11,(MID(M1082,1,1)&amp;MID(M1082,2,4)+1),CELL("address",AE1082))</f>
        <v>#VALUE!</v>
      </c>
      <c r="O1082" s="98" t="e">
        <f ca="1">IF(G1081&gt;=12,(MID(N1082,1,1)&amp;MID(N1082,2,4)+1),CELL("address",AF1082))</f>
        <v>#VALUE!</v>
      </c>
    </row>
    <row r="1083" spans="1:8" ht="15" customHeight="1">
      <c r="A1083" s="306"/>
      <c r="B1083" s="306"/>
      <c r="C1083" s="308"/>
      <c r="D1083" s="39" t="s">
        <v>345</v>
      </c>
      <c r="E1083" s="69">
        <v>0.096</v>
      </c>
      <c r="G1083" s="101" t="str">
        <f t="shared" si="8"/>
        <v>Alu scrap of damaged T/F accessories - 0.096, </v>
      </c>
      <c r="H1083" s="1"/>
    </row>
    <row r="1084" spans="1:8" ht="15" customHeight="1">
      <c r="A1084" s="306"/>
      <c r="B1084" s="306"/>
      <c r="C1084" s="308"/>
      <c r="D1084" s="39" t="s">
        <v>346</v>
      </c>
      <c r="E1084" s="69">
        <v>0.04</v>
      </c>
      <c r="G1084" s="101" t="str">
        <f t="shared" si="8"/>
        <v>Copper scrap - 0.04, </v>
      </c>
      <c r="H1084" s="1"/>
    </row>
    <row r="1085" spans="1:8" ht="15" customHeight="1">
      <c r="A1085" s="50"/>
      <c r="B1085" s="59"/>
      <c r="C1085" s="257"/>
      <c r="D1085" s="39"/>
      <c r="E1085" s="69"/>
      <c r="H1085" s="1"/>
    </row>
    <row r="1086" spans="1:15" ht="15" customHeight="1">
      <c r="A1086" s="50"/>
      <c r="B1086" s="59"/>
      <c r="C1086" s="257"/>
      <c r="D1086" s="45"/>
      <c r="E1086" s="67">
        <f>SUM(E1088:E1089)</f>
        <v>0.648</v>
      </c>
      <c r="F1086" s="98"/>
      <c r="G1086" s="98"/>
      <c r="H1086" s="98"/>
      <c r="I1086" s="98"/>
      <c r="J1086" s="98"/>
      <c r="K1086" s="98"/>
      <c r="L1086" s="98"/>
      <c r="M1086" s="98"/>
      <c r="N1086" s="98"/>
      <c r="O1086" s="98"/>
    </row>
    <row r="1087" spans="1:18" ht="15" customHeight="1">
      <c r="A1087" s="306" t="s">
        <v>5</v>
      </c>
      <c r="B1087" s="306"/>
      <c r="C1087" s="64" t="s">
        <v>17</v>
      </c>
      <c r="D1087" s="65" t="s">
        <v>18</v>
      </c>
      <c r="E1087" s="64" t="s">
        <v>7</v>
      </c>
      <c r="F1087" s="98"/>
      <c r="G1087" s="168" t="str">
        <f>CONCATENATE("Misc. Healthy parts/ Non Ferrous  Scrap, Lying at ",C1088,". Quantity in MT - ")</f>
        <v>Misc. Healthy parts/ Non Ferrous  Scrap, Lying at OL store Malerkotla. Quantity in MT - </v>
      </c>
      <c r="H1087" s="309" t="str">
        <f ca="1">CONCATENATE(G1087,G1088,(INDIRECT(I1088)),(INDIRECT(J1088)),(INDIRECT(K1088)),(INDIRECT(L1088)),(INDIRECT(M1088)),(INDIRECT(N1088)),(INDIRECT(O1088)),(INDIRECT(P1088)),(INDIRECT(Q1088)),(INDIRECT(R1088)),".")</f>
        <v>Misc. Healthy parts/ Non Ferrous  Scrap, Lying at OL store Malerkotla. Quantity in MT - Misc. Alumn. Scrap - 0.028, Misc. copper scrap - 0.62, .</v>
      </c>
      <c r="I1087" s="98" t="str">
        <f aca="true" ca="1" t="array" ref="I1087">CELL("address",INDEX(G1087:G1109,MATCH(TRUE,ISBLANK(G1087:G1109),0)))</f>
        <v>$G$1090</v>
      </c>
      <c r="J1087" s="98">
        <f aca="true" t="array" ref="J1087">MATCH(TRUE,ISBLANK(G1087:G1109),0)</f>
        <v>4</v>
      </c>
      <c r="K1087" s="98">
        <f>J1087-3</f>
        <v>1</v>
      </c>
      <c r="L1087" s="98"/>
      <c r="M1087" s="98"/>
      <c r="N1087" s="98"/>
      <c r="O1087" s="98"/>
      <c r="P1087" s="98"/>
      <c r="Q1087" s="98"/>
      <c r="R1087" s="98"/>
    </row>
    <row r="1088" spans="1:18" ht="15" customHeight="1">
      <c r="A1088" s="317" t="s">
        <v>44</v>
      </c>
      <c r="B1088" s="318"/>
      <c r="C1088" s="362" t="s">
        <v>116</v>
      </c>
      <c r="D1088" s="60" t="s">
        <v>31</v>
      </c>
      <c r="E1088" s="47">
        <v>0.028</v>
      </c>
      <c r="G1088" s="101" t="str">
        <f>CONCATENATE(D1088," - ",E1088,", ")</f>
        <v>Misc. Alumn. Scrap - 0.028, </v>
      </c>
      <c r="H1088" s="309"/>
      <c r="I1088" s="98" t="str">
        <f ca="1">IF(J1087&gt;=3,(MID(I1087,2,1)&amp;MID(I1087,4,4)-K1087),CELL("address",Z1088))</f>
        <v>G1089</v>
      </c>
      <c r="J1088" s="98" t="str">
        <f ca="1">IF(J1087&gt;=4,(MID(I1088,1,1)&amp;MID(I1088,2,4)+1),CELL("address",AA1088))</f>
        <v>G1090</v>
      </c>
      <c r="K1088" s="98" t="str">
        <f ca="1">IF(J1087&gt;=5,(MID(J1088,1,1)&amp;MID(J1088,2,4)+1),CELL("address",AB1088))</f>
        <v>$AB$1088</v>
      </c>
      <c r="L1088" s="98" t="str">
        <f ca="1">IF(J1087&gt;=6,(MID(K1088,1,1)&amp;MID(K1088,2,4)+1),CELL("address",AC1088))</f>
        <v>$AC$1088</v>
      </c>
      <c r="M1088" s="98" t="str">
        <f ca="1">IF(J1087&gt;=7,(MID(L1088,1,1)&amp;MID(L1088,2,4)+1),CELL("address",AD1088))</f>
        <v>$AD$1088</v>
      </c>
      <c r="N1088" s="98" t="str">
        <f ca="1">IF(J1087&gt;=8,(MID(M1088,1,1)&amp;MID(M1088,2,4)+1),CELL("address",AE1088))</f>
        <v>$AE$1088</v>
      </c>
      <c r="O1088" s="98" t="str">
        <f ca="1">IF(J1087&gt;=9,(MID(N1088,1,1)&amp;MID(N1088,2,4)+1),CELL("address",AF1088))</f>
        <v>$AF$1088</v>
      </c>
      <c r="P1088" s="98" t="str">
        <f ca="1">IF(J1087&gt;=10,(MID(O1088,1,1)&amp;MID(O1088,2,4)+1),CELL("address",AG1088))</f>
        <v>$AG$1088</v>
      </c>
      <c r="Q1088" s="98" t="str">
        <f ca="1">IF(J1087&gt;=11,(MID(P1088,1,1)&amp;MID(P1088,2,4)+1),CELL("address",AH1088))</f>
        <v>$AH$1088</v>
      </c>
      <c r="R1088" s="98" t="str">
        <f ca="1">IF(J1087&gt;=12,(MID(Q1088,1,1)&amp;MID(Q1088,2,4)+1),CELL("address",AI1088))</f>
        <v>$AI$1088</v>
      </c>
    </row>
    <row r="1089" spans="1:8" ht="15" customHeight="1">
      <c r="A1089" s="327"/>
      <c r="B1089" s="328"/>
      <c r="C1089" s="364"/>
      <c r="D1089" s="60" t="s">
        <v>111</v>
      </c>
      <c r="E1089" s="64">
        <v>0.62</v>
      </c>
      <c r="G1089" s="101" t="str">
        <f>CONCATENATE(D1089," - ",E1089,", ")</f>
        <v>Misc. copper scrap - 0.62, </v>
      </c>
      <c r="H1089" s="1"/>
    </row>
    <row r="1090" spans="1:8" ht="15" customHeight="1">
      <c r="A1090" s="304"/>
      <c r="B1090" s="307"/>
      <c r="C1090" s="254"/>
      <c r="D1090" s="60"/>
      <c r="E1090" s="64"/>
      <c r="H1090" s="1"/>
    </row>
    <row r="1091" spans="1:15" ht="15" customHeight="1">
      <c r="A1091" s="310"/>
      <c r="B1091" s="311"/>
      <c r="C1091" s="66"/>
      <c r="D1091" s="66"/>
      <c r="E1091" s="67">
        <f>SUM(E1093:E1094)</f>
        <v>0.10800000000000001</v>
      </c>
      <c r="F1091" s="98"/>
      <c r="G1091" s="98"/>
      <c r="H1091" s="98"/>
      <c r="I1091" s="98"/>
      <c r="J1091" s="98"/>
      <c r="K1091" s="98"/>
      <c r="L1091" s="98"/>
      <c r="M1091" s="98"/>
      <c r="N1091" s="98"/>
      <c r="O1091" s="98"/>
    </row>
    <row r="1092" spans="1:18" ht="15" customHeight="1">
      <c r="A1092" s="306" t="s">
        <v>5</v>
      </c>
      <c r="B1092" s="306"/>
      <c r="C1092" s="64" t="s">
        <v>17</v>
      </c>
      <c r="D1092" s="65" t="s">
        <v>18</v>
      </c>
      <c r="E1092" s="64" t="s">
        <v>7</v>
      </c>
      <c r="F1092" s="98"/>
      <c r="G1092" s="168" t="str">
        <f>CONCATENATE("Misc. Healthy parts/ Non Ferrous  Scrap, Lying at ",C1093,". Quantity in MT - ")</f>
        <v>Misc. Healthy parts/ Non Ferrous  Scrap, Lying at TRY Malerkotla. Quantity in MT - </v>
      </c>
      <c r="H1092" s="309" t="str">
        <f ca="1">CONCATENATE(G1092,G1093,(INDIRECT(I1093)),(INDIRECT(J1093)),(INDIRECT(K1093)),(INDIRECT(L1093)),(INDIRECT(M1093)),(INDIRECT(N1093)),(INDIRECT(O1093)),(INDIRECT(P1093)),(INDIRECT(Q1093)),(INDIRECT(R1093)),".")</f>
        <v>Misc. Healthy parts/ Non Ferrous  Scrap, Lying at TRY Malerkotla. Quantity in MT - Brass scrap - 0.101, Misc. Alumn. Scrap - 0.007, .</v>
      </c>
      <c r="I1092" s="98" t="str">
        <f aca="true" ca="1" t="array" ref="I1092">CELL("address",INDEX(G1092:G1114,MATCH(TRUE,ISBLANK(G1092:G1114),0)))</f>
        <v>$G$1095</v>
      </c>
      <c r="J1092" s="98">
        <f aca="true" t="array" ref="J1092">MATCH(TRUE,ISBLANK(G1092:G1114),0)</f>
        <v>4</v>
      </c>
      <c r="K1092" s="98">
        <f>J1092-3</f>
        <v>1</v>
      </c>
      <c r="L1092" s="98"/>
      <c r="M1092" s="98"/>
      <c r="N1092" s="98"/>
      <c r="O1092" s="98"/>
      <c r="P1092" s="98"/>
      <c r="Q1092" s="98"/>
      <c r="R1092" s="98"/>
    </row>
    <row r="1093" spans="1:18" ht="15" customHeight="1">
      <c r="A1093" s="306" t="s">
        <v>53</v>
      </c>
      <c r="B1093" s="306"/>
      <c r="C1093" s="308" t="s">
        <v>28</v>
      </c>
      <c r="D1093" s="45" t="s">
        <v>23</v>
      </c>
      <c r="E1093" s="45">
        <v>0.101</v>
      </c>
      <c r="G1093" s="101" t="str">
        <f>CONCATENATE(D1093," - ",E1093,", ")</f>
        <v>Brass scrap - 0.101, </v>
      </c>
      <c r="H1093" s="309"/>
      <c r="I1093" s="98" t="str">
        <f ca="1">IF(J1092&gt;=3,(MID(I1092,2,1)&amp;MID(I1092,4,4)-K1092),CELL("address",Z1093))</f>
        <v>G1094</v>
      </c>
      <c r="J1093" s="98" t="str">
        <f ca="1">IF(J1092&gt;=4,(MID(I1093,1,1)&amp;MID(I1093,2,4)+1),CELL("address",AA1093))</f>
        <v>G1095</v>
      </c>
      <c r="K1093" s="98" t="str">
        <f ca="1">IF(J1092&gt;=5,(MID(J1093,1,1)&amp;MID(J1093,2,4)+1),CELL("address",AB1093))</f>
        <v>$AB$1093</v>
      </c>
      <c r="L1093" s="98" t="str">
        <f ca="1">IF(J1092&gt;=6,(MID(K1093,1,1)&amp;MID(K1093,2,4)+1),CELL("address",AC1093))</f>
        <v>$AC$1093</v>
      </c>
      <c r="M1093" s="98" t="str">
        <f ca="1">IF(J1092&gt;=7,(MID(L1093,1,1)&amp;MID(L1093,2,4)+1),CELL("address",AD1093))</f>
        <v>$AD$1093</v>
      </c>
      <c r="N1093" s="98" t="str">
        <f ca="1">IF(J1092&gt;=8,(MID(M1093,1,1)&amp;MID(M1093,2,4)+1),CELL("address",AE1093))</f>
        <v>$AE$1093</v>
      </c>
      <c r="O1093" s="98" t="str">
        <f ca="1">IF(J1092&gt;=9,(MID(N1093,1,1)&amp;MID(N1093,2,4)+1),CELL("address",AF1093))</f>
        <v>$AF$1093</v>
      </c>
      <c r="P1093" s="98" t="str">
        <f ca="1">IF(J1092&gt;=10,(MID(O1093,1,1)&amp;MID(O1093,2,4)+1),CELL("address",AG1093))</f>
        <v>$AG$1093</v>
      </c>
      <c r="Q1093" s="98" t="str">
        <f ca="1">IF(J1092&gt;=11,(MID(P1093,1,1)&amp;MID(P1093,2,4)+1),CELL("address",AH1093))</f>
        <v>$AH$1093</v>
      </c>
      <c r="R1093" s="98" t="str">
        <f ca="1">IF(J1092&gt;=12,(MID(Q1093,1,1)&amp;MID(Q1093,2,4)+1),CELL("address",AI1093))</f>
        <v>$AI$1093</v>
      </c>
    </row>
    <row r="1094" spans="1:8" ht="15" customHeight="1">
      <c r="A1094" s="306"/>
      <c r="B1094" s="306"/>
      <c r="C1094" s="308"/>
      <c r="D1094" s="45" t="s">
        <v>31</v>
      </c>
      <c r="E1094" s="64">
        <v>0.007</v>
      </c>
      <c r="G1094" s="101" t="str">
        <f>CONCATENATE(D1094," - ",E1094,", ")</f>
        <v>Misc. Alumn. Scrap - 0.007, </v>
      </c>
      <c r="H1094" s="1"/>
    </row>
    <row r="1095" spans="1:8" ht="15" customHeight="1">
      <c r="A1095" s="304"/>
      <c r="B1095" s="307"/>
      <c r="C1095" s="254"/>
      <c r="D1095" s="45"/>
      <c r="E1095" s="64"/>
      <c r="H1095" s="1"/>
    </row>
    <row r="1096" spans="1:8" ht="15" customHeight="1">
      <c r="A1096" s="310"/>
      <c r="B1096" s="311"/>
      <c r="C1096" s="66"/>
      <c r="D1096" s="66"/>
      <c r="E1096" s="67">
        <f>SUM(E1098:E1102)</f>
        <v>2.116</v>
      </c>
      <c r="H1096" s="1"/>
    </row>
    <row r="1097" spans="1:18" ht="15" customHeight="1">
      <c r="A1097" s="304" t="s">
        <v>5</v>
      </c>
      <c r="B1097" s="307"/>
      <c r="C1097" s="64" t="s">
        <v>17</v>
      </c>
      <c r="D1097" s="65" t="s">
        <v>18</v>
      </c>
      <c r="E1097" s="64" t="s">
        <v>7</v>
      </c>
      <c r="G1097" s="168" t="str">
        <f>CONCATENATE("Misc. Healthy parts/ Non Ferrous  Scrap, Lying at ",C1098,". Quantity in MT - ")</f>
        <v>Misc. Healthy parts/ Non Ferrous  Scrap, Lying at TRY Patran. Quantity in MT - </v>
      </c>
      <c r="H1097" s="309" t="str">
        <f ca="1">CONCATENATE(G1097,G1098,(INDIRECT(I1098)),(INDIRECT(J1098)),(INDIRECT(K1098)),(INDIRECT(L1098)),(INDIRECT(M1098)),(INDIRECT(N1098)),(INDIRECT(O1098)),(INDIRECT(P1098)),(INDIRECT(Q1098)),(INDIRECT(R1098)),".")</f>
        <v>Misc. Healthy parts/ Non Ferrous  Scrap, Lying at TRY Patran. Quantity in MT - Brass scrap - 0.921, Misc. Aluminium scrap - 0.119, Burnt Cu scrap - 0.04, Ms Nuts &amp; Bolts - 0.9, Iron scrap - 0.136, .</v>
      </c>
      <c r="I1097" s="98" t="str">
        <f aca="true" ca="1" t="array" ref="I1097">CELL("address",INDEX(G1097:G1119,MATCH(TRUE,ISBLANK(G1097:G1119),0)))</f>
        <v>$G$1103</v>
      </c>
      <c r="J1097" s="98">
        <f aca="true" t="array" ref="J1097">MATCH(TRUE,ISBLANK(G1097:G1119),0)</f>
        <v>7</v>
      </c>
      <c r="K1097" s="98">
        <f>J1097-3</f>
        <v>4</v>
      </c>
      <c r="L1097" s="98"/>
      <c r="M1097" s="98"/>
      <c r="N1097" s="98"/>
      <c r="O1097" s="98"/>
      <c r="P1097" s="98"/>
      <c r="Q1097" s="98"/>
      <c r="R1097" s="98"/>
    </row>
    <row r="1098" spans="1:18" ht="15" customHeight="1">
      <c r="A1098" s="306" t="s">
        <v>115</v>
      </c>
      <c r="B1098" s="306"/>
      <c r="C1098" s="362" t="s">
        <v>136</v>
      </c>
      <c r="D1098" s="40" t="s">
        <v>23</v>
      </c>
      <c r="E1098" s="46">
        <v>0.921</v>
      </c>
      <c r="G1098" s="101" t="str">
        <f>CONCATENATE(D1098," - ",E1098,", ")</f>
        <v>Brass scrap - 0.921, </v>
      </c>
      <c r="H1098" s="309"/>
      <c r="I1098" s="98" t="str">
        <f ca="1">IF(J1097&gt;=3,(MID(I1097,2,1)&amp;MID(I1097,4,4)-K1097),CELL("address",Z1098))</f>
        <v>G1099</v>
      </c>
      <c r="J1098" s="98" t="str">
        <f ca="1">IF(J1097&gt;=4,(MID(I1098,1,1)&amp;MID(I1098,2,4)+1),CELL("address",AA1098))</f>
        <v>G1100</v>
      </c>
      <c r="K1098" s="98" t="str">
        <f ca="1">IF(J1097&gt;=5,(MID(J1098,1,1)&amp;MID(J1098,2,4)+1),CELL("address",AB1098))</f>
        <v>G1101</v>
      </c>
      <c r="L1098" s="98" t="str">
        <f ca="1">IF(J1097&gt;=6,(MID(K1098,1,1)&amp;MID(K1098,2,4)+1),CELL("address",AC1098))</f>
        <v>G1102</v>
      </c>
      <c r="M1098" s="98" t="str">
        <f ca="1">IF(J1097&gt;=7,(MID(L1098,1,1)&amp;MID(L1098,2,4)+1),CELL("address",AD1098))</f>
        <v>G1103</v>
      </c>
      <c r="N1098" s="98" t="str">
        <f ca="1">IF(J1097&gt;=8,(MID(M1098,1,1)&amp;MID(M1098,2,4)+1),CELL("address",AE1098))</f>
        <v>$AE$1098</v>
      </c>
      <c r="O1098" s="98" t="str">
        <f ca="1">IF(J1097&gt;=9,(MID(N1098,1,1)&amp;MID(N1098,2,4)+1),CELL("address",AF1098))</f>
        <v>$AF$1098</v>
      </c>
      <c r="P1098" s="98" t="str">
        <f ca="1">IF(J1097&gt;=10,(MID(O1098,1,1)&amp;MID(O1098,2,4)+1),CELL("address",AG1098))</f>
        <v>$AG$1098</v>
      </c>
      <c r="Q1098" s="98" t="str">
        <f ca="1">IF(J1097&gt;=11,(MID(P1098,1,1)&amp;MID(P1098,2,4)+1),CELL("address",AH1098))</f>
        <v>$AH$1098</v>
      </c>
      <c r="R1098" s="98" t="str">
        <f ca="1">IF(J1097&gt;=12,(MID(Q1098,1,1)&amp;MID(Q1098,2,4)+1),CELL("address",AI1098))</f>
        <v>$AI$1098</v>
      </c>
    </row>
    <row r="1099" spans="1:15" ht="15" customHeight="1">
      <c r="A1099" s="306"/>
      <c r="B1099" s="306"/>
      <c r="C1099" s="363"/>
      <c r="D1099" s="40" t="s">
        <v>24</v>
      </c>
      <c r="E1099" s="46">
        <v>0.119</v>
      </c>
      <c r="F1099" s="98"/>
      <c r="G1099" s="101" t="str">
        <f>CONCATENATE(D1099," - ",E1099,", ")</f>
        <v>Misc. Aluminium scrap - 0.119, </v>
      </c>
      <c r="H1099" s="98"/>
      <c r="I1099" s="98"/>
      <c r="J1099" s="98"/>
      <c r="K1099" s="98"/>
      <c r="L1099" s="98"/>
      <c r="M1099" s="98"/>
      <c r="N1099" s="98"/>
      <c r="O1099" s="98"/>
    </row>
    <row r="1100" spans="1:15" ht="15" customHeight="1">
      <c r="A1100" s="306"/>
      <c r="B1100" s="306"/>
      <c r="C1100" s="363"/>
      <c r="D1100" s="40" t="s">
        <v>37</v>
      </c>
      <c r="E1100" s="46">
        <v>0.04</v>
      </c>
      <c r="F1100" s="98"/>
      <c r="G1100" s="101" t="str">
        <f>CONCATENATE(D1100," - ",E1100,", ")</f>
        <v>Burnt Cu scrap - 0.04, </v>
      </c>
      <c r="H1100" s="98"/>
      <c r="I1100" s="98" t="e">
        <f ca="1">IF(G1099&gt;=6,(MID(H1100,1,1)&amp;MID(H1100,2,4)+1),CELL("address",Z1100))</f>
        <v>#VALUE!</v>
      </c>
      <c r="J1100" s="98" t="e">
        <f ca="1">IF(G1099&gt;=7,(MID(I1100,1,1)&amp;MID(I1100,2,4)+1),CELL("address",AA1100))</f>
        <v>#VALUE!</v>
      </c>
      <c r="K1100" s="98" t="e">
        <f ca="1">IF(G1099&gt;=8,(MID(J1100,1,1)&amp;MID(J1100,2,4)+1),CELL("address",AB1100))</f>
        <v>#VALUE!</v>
      </c>
      <c r="L1100" s="98" t="e">
        <f ca="1">IF(G1099&gt;=9,(MID(K1100,1,1)&amp;MID(K1100,2,4)+1),CELL("address",AC1100))</f>
        <v>#VALUE!</v>
      </c>
      <c r="M1100" s="98" t="e">
        <f ca="1">IF(G1099&gt;=10,(MID(L1100,1,1)&amp;MID(L1100,2,4)+1),CELL("address",AD1100))</f>
        <v>#VALUE!</v>
      </c>
      <c r="N1100" s="98" t="e">
        <f ca="1">IF(G1099&gt;=11,(MID(M1100,1,1)&amp;MID(M1100,2,4)+1),CELL("address",AE1100))</f>
        <v>#VALUE!</v>
      </c>
      <c r="O1100" s="98" t="e">
        <f ca="1">IF(G1099&gt;=12,(MID(N1100,1,1)&amp;MID(N1100,2,4)+1),CELL("address",AF1100))</f>
        <v>#VALUE!</v>
      </c>
    </row>
    <row r="1101" spans="1:8" ht="15" customHeight="1">
      <c r="A1101" s="306"/>
      <c r="B1101" s="306"/>
      <c r="C1101" s="363"/>
      <c r="D1101" s="45" t="s">
        <v>147</v>
      </c>
      <c r="E1101" s="46">
        <v>0.9</v>
      </c>
      <c r="G1101" s="101" t="str">
        <f>CONCATENATE(D1101," - ",E1101,", ")</f>
        <v>Ms Nuts &amp; Bolts - 0.9, </v>
      </c>
      <c r="H1101" s="1"/>
    </row>
    <row r="1102" spans="1:8" ht="15" customHeight="1">
      <c r="A1102" s="306"/>
      <c r="B1102" s="306"/>
      <c r="C1102" s="364"/>
      <c r="D1102" s="40" t="s">
        <v>27</v>
      </c>
      <c r="E1102" s="46">
        <v>0.136</v>
      </c>
      <c r="G1102" s="101" t="str">
        <f>CONCATENATE(D1102," - ",E1102,", ")</f>
        <v>Iron scrap - 0.136, </v>
      </c>
      <c r="H1102" s="1"/>
    </row>
    <row r="1103" spans="1:8" ht="15" customHeight="1">
      <c r="A1103" s="50"/>
      <c r="B1103" s="59"/>
      <c r="C1103" s="257"/>
      <c r="D1103" s="45"/>
      <c r="E1103" s="46"/>
      <c r="H1103" s="1"/>
    </row>
    <row r="1104" spans="1:15" ht="15" customHeight="1">
      <c r="A1104" s="310"/>
      <c r="B1104" s="311"/>
      <c r="C1104" s="66"/>
      <c r="D1104" s="66"/>
      <c r="E1104" s="67">
        <f>SUM(E1106:E1107)</f>
        <v>1.222</v>
      </c>
      <c r="F1104" s="98"/>
      <c r="G1104" s="98"/>
      <c r="H1104" s="98"/>
      <c r="I1104" s="98"/>
      <c r="J1104" s="98"/>
      <c r="K1104" s="98"/>
      <c r="L1104" s="98"/>
      <c r="M1104" s="98"/>
      <c r="N1104" s="98"/>
      <c r="O1104" s="98"/>
    </row>
    <row r="1105" spans="1:18" ht="15" customHeight="1">
      <c r="A1105" s="306" t="s">
        <v>5</v>
      </c>
      <c r="B1105" s="306"/>
      <c r="C1105" s="64" t="s">
        <v>17</v>
      </c>
      <c r="D1105" s="65" t="s">
        <v>18</v>
      </c>
      <c r="E1105" s="64" t="s">
        <v>7</v>
      </c>
      <c r="F1105" s="98"/>
      <c r="G1105" s="168" t="str">
        <f>CONCATENATE("Misc. Healthy parts/ Non Ferrous  Scrap, Lying at ",C1106,". Quantity in MT - ")</f>
        <v>Misc. Healthy parts/ Non Ferrous  Scrap, Lying at TRY Patran. Quantity in MT - </v>
      </c>
      <c r="H1105" s="309" t="str">
        <f ca="1">CONCATENATE(G1105,G1106,(INDIRECT(I1106)),(INDIRECT(J1106)),(INDIRECT(K1106)),(INDIRECT(L1106)),(INDIRECT(M1106)),(INDIRECT(N1106)),(INDIRECT(O1106)),(INDIRECT(P1106)),(INDIRECT(Q1106)),(INDIRECT(R1106)),".")</f>
        <v>Misc. Healthy parts/ Non Ferrous  Scrap, Lying at TRY Patran. Quantity in MT - Brass scrap - 1.148, Misc. Alumn. Scrap - 0.074, .</v>
      </c>
      <c r="I1105" s="98" t="str">
        <f aca="true" ca="1" t="array" ref="I1105">CELL("address",INDEX(G1105:G1127,MATCH(TRUE,ISBLANK(G1105:G1127),0)))</f>
        <v>$G$1108</v>
      </c>
      <c r="J1105" s="98">
        <f aca="true" t="array" ref="J1105">MATCH(TRUE,ISBLANK(G1105:G1127),0)</f>
        <v>4</v>
      </c>
      <c r="K1105" s="98">
        <f>J1105-3</f>
        <v>1</v>
      </c>
      <c r="L1105" s="98"/>
      <c r="M1105" s="98"/>
      <c r="N1105" s="98"/>
      <c r="O1105" s="98"/>
      <c r="P1105" s="98"/>
      <c r="Q1105" s="98"/>
      <c r="R1105" s="98"/>
    </row>
    <row r="1106" spans="1:18" ht="15" customHeight="1">
      <c r="A1106" s="306" t="s">
        <v>117</v>
      </c>
      <c r="B1106" s="306"/>
      <c r="C1106" s="308" t="s">
        <v>136</v>
      </c>
      <c r="D1106" s="45" t="s">
        <v>23</v>
      </c>
      <c r="E1106" s="45">
        <v>1.148</v>
      </c>
      <c r="G1106" s="101" t="str">
        <f>CONCATENATE(D1106," - ",E1106,", ")</f>
        <v>Brass scrap - 1.148, </v>
      </c>
      <c r="H1106" s="309"/>
      <c r="I1106" s="98" t="str">
        <f ca="1">IF(J1105&gt;=3,(MID(I1105,2,1)&amp;MID(I1105,4,4)-K1105),CELL("address",Z1106))</f>
        <v>G1107</v>
      </c>
      <c r="J1106" s="98" t="str">
        <f ca="1">IF(J1105&gt;=4,(MID(I1106,1,1)&amp;MID(I1106,2,4)+1),CELL("address",AA1106))</f>
        <v>G1108</v>
      </c>
      <c r="K1106" s="98" t="str">
        <f ca="1">IF(J1105&gt;=5,(MID(J1106,1,1)&amp;MID(J1106,2,4)+1),CELL("address",AB1106))</f>
        <v>$AB$1106</v>
      </c>
      <c r="L1106" s="98" t="str">
        <f ca="1">IF(J1105&gt;=6,(MID(K1106,1,1)&amp;MID(K1106,2,4)+1),CELL("address",AC1106))</f>
        <v>$AC$1106</v>
      </c>
      <c r="M1106" s="98" t="str">
        <f ca="1">IF(J1105&gt;=7,(MID(L1106,1,1)&amp;MID(L1106,2,4)+1),CELL("address",AD1106))</f>
        <v>$AD$1106</v>
      </c>
      <c r="N1106" s="98" t="str">
        <f ca="1">IF(J1105&gt;=8,(MID(M1106,1,1)&amp;MID(M1106,2,4)+1),CELL("address",AE1106))</f>
        <v>$AE$1106</v>
      </c>
      <c r="O1106" s="98" t="str">
        <f ca="1">IF(J1105&gt;=9,(MID(N1106,1,1)&amp;MID(N1106,2,4)+1),CELL("address",AF1106))</f>
        <v>$AF$1106</v>
      </c>
      <c r="P1106" s="98" t="str">
        <f ca="1">IF(J1105&gt;=10,(MID(O1106,1,1)&amp;MID(O1106,2,4)+1),CELL("address",AG1106))</f>
        <v>$AG$1106</v>
      </c>
      <c r="Q1106" s="98" t="str">
        <f ca="1">IF(J1105&gt;=11,(MID(P1106,1,1)&amp;MID(P1106,2,4)+1),CELL("address",AH1106))</f>
        <v>$AH$1106</v>
      </c>
      <c r="R1106" s="98" t="str">
        <f ca="1">IF(J1105&gt;=12,(MID(Q1106,1,1)&amp;MID(Q1106,2,4)+1),CELL("address",AI1106))</f>
        <v>$AI$1106</v>
      </c>
    </row>
    <row r="1107" spans="1:8" ht="15" customHeight="1">
      <c r="A1107" s="306"/>
      <c r="B1107" s="306"/>
      <c r="C1107" s="308"/>
      <c r="D1107" s="45" t="s">
        <v>31</v>
      </c>
      <c r="E1107" s="64">
        <v>0.074</v>
      </c>
      <c r="G1107" s="101" t="str">
        <f>CONCATENATE(D1107," - ",E1107,", ")</f>
        <v>Misc. Alumn. Scrap - 0.074, </v>
      </c>
      <c r="H1107" s="1"/>
    </row>
    <row r="1108" spans="1:8" ht="15" customHeight="1">
      <c r="A1108" s="35"/>
      <c r="H1108" s="1"/>
    </row>
    <row r="1109" spans="1:15" ht="15" customHeight="1">
      <c r="A1109" s="310"/>
      <c r="B1109" s="311"/>
      <c r="C1109" s="66"/>
      <c r="D1109" s="66"/>
      <c r="E1109" s="67">
        <f>SUM(E1111:E1112)</f>
        <v>2.17</v>
      </c>
      <c r="F1109" s="98"/>
      <c r="G1109" s="98"/>
      <c r="H1109" s="98"/>
      <c r="I1109" s="98"/>
      <c r="J1109" s="98"/>
      <c r="K1109" s="98"/>
      <c r="L1109" s="98"/>
      <c r="M1109" s="98"/>
      <c r="N1109" s="98"/>
      <c r="O1109" s="98"/>
    </row>
    <row r="1110" spans="1:18" ht="15" customHeight="1">
      <c r="A1110" s="306" t="s">
        <v>5</v>
      </c>
      <c r="B1110" s="306"/>
      <c r="C1110" s="64" t="s">
        <v>17</v>
      </c>
      <c r="D1110" s="65" t="s">
        <v>18</v>
      </c>
      <c r="E1110" s="64" t="s">
        <v>7</v>
      </c>
      <c r="F1110" s="98"/>
      <c r="G1110" s="168" t="str">
        <f>CONCATENATE("Misc. Healthy parts/ Non Ferrous  Scrap, Lying at ",C1111,". Quantity in MT - ")</f>
        <v>Misc. Healthy parts/ Non Ferrous  Scrap, Lying at TRY Ropar. Quantity in MT - </v>
      </c>
      <c r="H1110" s="309" t="str">
        <f ca="1">CONCATENATE(G1110,G1111,(INDIRECT(I1111)),(INDIRECT(J1111)),(INDIRECT(K1111)),(INDIRECT(L1111)),(INDIRECT(M1111)),(INDIRECT(N1111)),(INDIRECT(O1111)),(INDIRECT(P1111)),(INDIRECT(Q1111)),(INDIRECT(R1111)),".")</f>
        <v>Misc. Healthy parts/ Non Ferrous  Scrap, Lying at TRY Ropar. Quantity in MT - Brass scrap - 2.007, Misc. Alumn. Scrap - 0.163, .</v>
      </c>
      <c r="I1110" s="98" t="str">
        <f aca="true" ca="1" t="array" ref="I1110">CELL("address",INDEX(G1110:G1132,MATCH(TRUE,ISBLANK(G1110:G1132),0)))</f>
        <v>$G$1113</v>
      </c>
      <c r="J1110" s="98">
        <f aca="true" t="array" ref="J1110">MATCH(TRUE,ISBLANK(G1110:G1132),0)</f>
        <v>4</v>
      </c>
      <c r="K1110" s="98">
        <f>J1110-3</f>
        <v>1</v>
      </c>
      <c r="L1110" s="98"/>
      <c r="M1110" s="98"/>
      <c r="N1110" s="98"/>
      <c r="O1110" s="98"/>
      <c r="P1110" s="98"/>
      <c r="Q1110" s="98"/>
      <c r="R1110" s="98"/>
    </row>
    <row r="1111" spans="1:18" ht="15" customHeight="1">
      <c r="A1111" s="306" t="s">
        <v>118</v>
      </c>
      <c r="B1111" s="306"/>
      <c r="C1111" s="308" t="s">
        <v>143</v>
      </c>
      <c r="D1111" s="45" t="s">
        <v>23</v>
      </c>
      <c r="E1111" s="45">
        <v>2.007</v>
      </c>
      <c r="G1111" s="101" t="str">
        <f>CONCATENATE(D1111," - ",E1111,", ")</f>
        <v>Brass scrap - 2.007, </v>
      </c>
      <c r="H1111" s="309"/>
      <c r="I1111" s="98" t="str">
        <f ca="1">IF(J1110&gt;=3,(MID(I1110,2,1)&amp;MID(I1110,4,4)-K1110),CELL("address",Z1111))</f>
        <v>G1112</v>
      </c>
      <c r="J1111" s="98" t="str">
        <f ca="1">IF(J1110&gt;=4,(MID(I1111,1,1)&amp;MID(I1111,2,4)+1),CELL("address",AA1111))</f>
        <v>G1113</v>
      </c>
      <c r="K1111" s="98" t="str">
        <f ca="1">IF(J1110&gt;=5,(MID(J1111,1,1)&amp;MID(J1111,2,4)+1),CELL("address",AB1111))</f>
        <v>$AB$1111</v>
      </c>
      <c r="L1111" s="98" t="str">
        <f ca="1">IF(J1110&gt;=6,(MID(K1111,1,1)&amp;MID(K1111,2,4)+1),CELL("address",AC1111))</f>
        <v>$AC$1111</v>
      </c>
      <c r="M1111" s="98" t="str">
        <f ca="1">IF(J1110&gt;=7,(MID(L1111,1,1)&amp;MID(L1111,2,4)+1),CELL("address",AD1111))</f>
        <v>$AD$1111</v>
      </c>
      <c r="N1111" s="98" t="str">
        <f ca="1">IF(J1110&gt;=8,(MID(M1111,1,1)&amp;MID(M1111,2,4)+1),CELL("address",AE1111))</f>
        <v>$AE$1111</v>
      </c>
      <c r="O1111" s="98" t="str">
        <f ca="1">IF(J1110&gt;=9,(MID(N1111,1,1)&amp;MID(N1111,2,4)+1),CELL("address",AF1111))</f>
        <v>$AF$1111</v>
      </c>
      <c r="P1111" s="98" t="str">
        <f ca="1">IF(J1110&gt;=10,(MID(O1111,1,1)&amp;MID(O1111,2,4)+1),CELL("address",AG1111))</f>
        <v>$AG$1111</v>
      </c>
      <c r="Q1111" s="98" t="str">
        <f ca="1">IF(J1110&gt;=11,(MID(P1111,1,1)&amp;MID(P1111,2,4)+1),CELL("address",AH1111))</f>
        <v>$AH$1111</v>
      </c>
      <c r="R1111" s="98" t="str">
        <f ca="1">IF(J1110&gt;=12,(MID(Q1111,1,1)&amp;MID(Q1111,2,4)+1),CELL("address",AI1111))</f>
        <v>$AI$1111</v>
      </c>
    </row>
    <row r="1112" spans="1:8" ht="15" customHeight="1">
      <c r="A1112" s="306"/>
      <c r="B1112" s="306"/>
      <c r="C1112" s="308"/>
      <c r="D1112" s="45" t="s">
        <v>31</v>
      </c>
      <c r="E1112" s="64">
        <v>0.163</v>
      </c>
      <c r="G1112" s="101" t="str">
        <f>CONCATENATE(D1112," - ",E1112,", ")</f>
        <v>Misc. Alumn. Scrap - 0.163, </v>
      </c>
      <c r="H1112" s="1"/>
    </row>
    <row r="1113" spans="1:8" ht="15" customHeight="1">
      <c r="A1113" s="51"/>
      <c r="B1113" s="54"/>
      <c r="C1113" s="19"/>
      <c r="D1113" s="83"/>
      <c r="E1113" s="82"/>
      <c r="H1113" s="1"/>
    </row>
    <row r="1114" spans="1:8" ht="15" customHeight="1">
      <c r="A1114" s="310"/>
      <c r="B1114" s="311"/>
      <c r="C1114" s="66"/>
      <c r="D1114" s="66"/>
      <c r="E1114" s="67">
        <f>SUM(E1116:E1121)</f>
        <v>1.9560000000000002</v>
      </c>
      <c r="H1114" s="1"/>
    </row>
    <row r="1115" spans="1:18" ht="15" customHeight="1">
      <c r="A1115" s="306" t="s">
        <v>5</v>
      </c>
      <c r="B1115" s="306"/>
      <c r="C1115" s="64" t="s">
        <v>17</v>
      </c>
      <c r="D1115" s="65" t="s">
        <v>18</v>
      </c>
      <c r="E1115" s="64" t="s">
        <v>7</v>
      </c>
      <c r="G1115" s="168" t="str">
        <f>CONCATENATE("Misc. Healthy parts/ Non Ferrous  Scrap, Lying at ",C1116,". Quantity in MT - ")</f>
        <v>Misc. Healthy parts/ Non Ferrous  Scrap, Lying at TRY Patiala. Quantity in MT - </v>
      </c>
      <c r="H1115" s="309" t="str">
        <f ca="1">CONCATENATE(G1115,G1116,(INDIRECT(I1116)),(INDIRECT(J1116)),(INDIRECT(K1116)),(INDIRECT(L1116)),(INDIRECT(M1116)),(INDIRECT(N1116)),(INDIRECT(O1116)),(INDIRECT(P1116)),(INDIRECT(Q1116)),(INDIRECT(R1116)),".")</f>
        <v>Misc. Healthy parts/ Non Ferrous  Scrap, Lying at TRY Patiala. Quantity in MT - Brass scrap - 0.768, Misc. Alumn. Scrap - 0.069, Burnt Cu scrap - 0.055, Nuts &amp; Bolts scrap - 0.87, Teen Patra scrap - 0.136, M.S Iron scrap - 0.058, .</v>
      </c>
      <c r="I1115" s="98" t="str">
        <f aca="true" ca="1" t="array" ref="I1115">CELL("address",INDEX(G1115:G1137,MATCH(TRUE,ISBLANK(G1115:G1137),0)))</f>
        <v>$G$1122</v>
      </c>
      <c r="J1115" s="98">
        <f aca="true" t="array" ref="J1115">MATCH(TRUE,ISBLANK(G1115:G1137),0)</f>
        <v>8</v>
      </c>
      <c r="K1115" s="98">
        <f>J1115-3</f>
        <v>5</v>
      </c>
      <c r="L1115" s="98"/>
      <c r="M1115" s="98"/>
      <c r="N1115" s="98"/>
      <c r="O1115" s="98"/>
      <c r="P1115" s="98"/>
      <c r="Q1115" s="98"/>
      <c r="R1115" s="98"/>
    </row>
    <row r="1116" spans="1:18" ht="15" customHeight="1">
      <c r="A1116" s="306" t="s">
        <v>125</v>
      </c>
      <c r="B1116" s="306"/>
      <c r="C1116" s="308" t="s">
        <v>120</v>
      </c>
      <c r="D1116" s="45" t="s">
        <v>23</v>
      </c>
      <c r="E1116" s="47">
        <v>0.768</v>
      </c>
      <c r="G1116" s="101" t="str">
        <f aca="true" t="shared" si="9" ref="G1116:G1121">CONCATENATE(D1116," - ",E1116,", ")</f>
        <v>Brass scrap - 0.768, </v>
      </c>
      <c r="H1116" s="309"/>
      <c r="I1116" s="98" t="str">
        <f ca="1">IF(J1115&gt;=3,(MID(I1115,2,1)&amp;MID(I1115,4,4)-K1115),CELL("address",Z1116))</f>
        <v>G1117</v>
      </c>
      <c r="J1116" s="98" t="str">
        <f ca="1">IF(J1115&gt;=4,(MID(I1116,1,1)&amp;MID(I1116,2,4)+1),CELL("address",AA1116))</f>
        <v>G1118</v>
      </c>
      <c r="K1116" s="98" t="str">
        <f ca="1">IF(J1115&gt;=5,(MID(J1116,1,1)&amp;MID(J1116,2,4)+1),CELL("address",AB1116))</f>
        <v>G1119</v>
      </c>
      <c r="L1116" s="98" t="str">
        <f ca="1">IF(J1115&gt;=6,(MID(K1116,1,1)&amp;MID(K1116,2,4)+1),CELL("address",AC1116))</f>
        <v>G1120</v>
      </c>
      <c r="M1116" s="98" t="str">
        <f ca="1">IF(J1115&gt;=7,(MID(L1116,1,1)&amp;MID(L1116,2,4)+1),CELL("address",AD1116))</f>
        <v>G1121</v>
      </c>
      <c r="N1116" s="98" t="str">
        <f ca="1">IF(J1115&gt;=8,(MID(M1116,1,1)&amp;MID(M1116,2,4)+1),CELL("address",AE1116))</f>
        <v>G1122</v>
      </c>
      <c r="O1116" s="98" t="str">
        <f ca="1">IF(J1115&gt;=9,(MID(N1116,1,1)&amp;MID(N1116,2,4)+1),CELL("address",AF1116))</f>
        <v>$AF$1116</v>
      </c>
      <c r="P1116" s="98" t="str">
        <f ca="1">IF(J1115&gt;=10,(MID(O1116,1,1)&amp;MID(O1116,2,4)+1),CELL("address",AG1116))</f>
        <v>$AG$1116</v>
      </c>
      <c r="Q1116" s="98" t="str">
        <f ca="1">IF(J1115&gt;=11,(MID(P1116,1,1)&amp;MID(P1116,2,4)+1),CELL("address",AH1116))</f>
        <v>$AH$1116</v>
      </c>
      <c r="R1116" s="98" t="str">
        <f ca="1">IF(J1115&gt;=12,(MID(Q1116,1,1)&amp;MID(Q1116,2,4)+1),CELL("address",AI1116))</f>
        <v>$AI$1116</v>
      </c>
    </row>
    <row r="1117" spans="1:8" ht="15" customHeight="1">
      <c r="A1117" s="306"/>
      <c r="B1117" s="306"/>
      <c r="C1117" s="308"/>
      <c r="D1117" s="45" t="s">
        <v>31</v>
      </c>
      <c r="E1117" s="73">
        <v>0.069</v>
      </c>
      <c r="G1117" s="101" t="str">
        <f t="shared" si="9"/>
        <v>Misc. Alumn. Scrap - 0.069, </v>
      </c>
      <c r="H1117" s="1"/>
    </row>
    <row r="1118" spans="1:15" ht="15" customHeight="1">
      <c r="A1118" s="306"/>
      <c r="B1118" s="306"/>
      <c r="C1118" s="308"/>
      <c r="D1118" s="40" t="s">
        <v>37</v>
      </c>
      <c r="E1118" s="188">
        <v>0.055</v>
      </c>
      <c r="F1118" s="98"/>
      <c r="G1118" s="101" t="str">
        <f t="shared" si="9"/>
        <v>Burnt Cu scrap - 0.055, </v>
      </c>
      <c r="H1118" s="98"/>
      <c r="I1118" s="98"/>
      <c r="J1118" s="98"/>
      <c r="K1118" s="98"/>
      <c r="L1118" s="98"/>
      <c r="M1118" s="98"/>
      <c r="N1118" s="98"/>
      <c r="O1118" s="98"/>
    </row>
    <row r="1119" spans="1:15" ht="15" customHeight="1">
      <c r="A1119" s="306"/>
      <c r="B1119" s="306"/>
      <c r="C1119" s="308"/>
      <c r="D1119" s="40" t="s">
        <v>58</v>
      </c>
      <c r="E1119" s="188">
        <v>0.87</v>
      </c>
      <c r="F1119" s="98"/>
      <c r="G1119" s="101" t="str">
        <f t="shared" si="9"/>
        <v>Nuts &amp; Bolts scrap - 0.87, </v>
      </c>
      <c r="H1119" s="98"/>
      <c r="I1119" s="98" t="e">
        <f ca="1">IF(G1118&gt;=6,(MID(H1119,1,1)&amp;MID(H1119,2,4)+1),CELL("address",Z1119))</f>
        <v>#VALUE!</v>
      </c>
      <c r="J1119" s="98" t="e">
        <f ca="1">IF(G1118&gt;=7,(MID(I1119,1,1)&amp;MID(I1119,2,4)+1),CELL("address",AA1119))</f>
        <v>#VALUE!</v>
      </c>
      <c r="K1119" s="98" t="e">
        <f ca="1">IF(G1118&gt;=8,(MID(J1119,1,1)&amp;MID(J1119,2,4)+1),CELL("address",AB1119))</f>
        <v>#VALUE!</v>
      </c>
      <c r="L1119" s="98" t="e">
        <f ca="1">IF(G1118&gt;=9,(MID(K1119,1,1)&amp;MID(K1119,2,4)+1),CELL("address",AC1119))</f>
        <v>#VALUE!</v>
      </c>
      <c r="M1119" s="98" t="e">
        <f ca="1">IF(G1118&gt;=10,(MID(L1119,1,1)&amp;MID(L1119,2,4)+1),CELL("address",AD1119))</f>
        <v>#VALUE!</v>
      </c>
      <c r="N1119" s="98" t="e">
        <f ca="1">IF(G1118&gt;=11,(MID(M1119,1,1)&amp;MID(M1119,2,4)+1),CELL("address",AE1119))</f>
        <v>#VALUE!</v>
      </c>
      <c r="O1119" s="98" t="e">
        <f ca="1">IF(G1118&gt;=12,(MID(N1119,1,1)&amp;MID(N1119,2,4)+1),CELL("address",AF1119))</f>
        <v>#VALUE!</v>
      </c>
    </row>
    <row r="1120" spans="1:8" ht="15" customHeight="1">
      <c r="A1120" s="306"/>
      <c r="B1120" s="306"/>
      <c r="C1120" s="308"/>
      <c r="D1120" s="40" t="s">
        <v>64</v>
      </c>
      <c r="E1120" s="188">
        <v>0.136</v>
      </c>
      <c r="G1120" s="101" t="str">
        <f t="shared" si="9"/>
        <v>Teen Patra scrap - 0.136, </v>
      </c>
      <c r="H1120" s="1"/>
    </row>
    <row r="1121" spans="1:8" ht="15" customHeight="1">
      <c r="A1121" s="306"/>
      <c r="B1121" s="306"/>
      <c r="C1121" s="308"/>
      <c r="D1121" s="40" t="s">
        <v>410</v>
      </c>
      <c r="E1121" s="188">
        <v>0.058</v>
      </c>
      <c r="G1121" s="101" t="str">
        <f t="shared" si="9"/>
        <v>M.S Iron scrap - 0.058, </v>
      </c>
      <c r="H1121" s="1"/>
    </row>
    <row r="1122" spans="1:15" ht="15" customHeight="1">
      <c r="A1122" s="35"/>
      <c r="B1122" s="1"/>
      <c r="C1122" s="1"/>
      <c r="D1122" s="1"/>
      <c r="E1122" s="1"/>
      <c r="F1122" s="98"/>
      <c r="G1122" s="98"/>
      <c r="H1122" s="98"/>
      <c r="I1122" s="98"/>
      <c r="J1122" s="98"/>
      <c r="K1122" s="98"/>
      <c r="L1122" s="98"/>
      <c r="M1122" s="98"/>
      <c r="N1122" s="98"/>
      <c r="O1122" s="98"/>
    </row>
    <row r="1123" spans="1:15" ht="15" customHeight="1">
      <c r="A1123" s="310"/>
      <c r="B1123" s="311"/>
      <c r="C1123" s="66"/>
      <c r="D1123" s="66"/>
      <c r="E1123" s="67">
        <f>SUM(E1125:E1125)</f>
        <v>0.011</v>
      </c>
      <c r="F1123" s="98"/>
      <c r="G1123" s="98"/>
      <c r="H1123" s="98"/>
      <c r="I1123" s="98" t="str">
        <f ca="1">IF(G1122&gt;=6,(MID(H1123,1,1)&amp;MID(H1123,2,4)+1),CELL("address",Z1123))</f>
        <v>$Z$1123</v>
      </c>
      <c r="J1123" s="98" t="str">
        <f ca="1">IF(G1122&gt;=7,(MID(I1123,1,1)&amp;MID(I1123,2,4)+1),CELL("address",AA1123))</f>
        <v>$AA$1123</v>
      </c>
      <c r="K1123" s="98" t="str">
        <f ca="1">IF(G1122&gt;=8,(MID(J1123,1,1)&amp;MID(J1123,2,4)+1),CELL("address",AB1123))</f>
        <v>$AB$1123</v>
      </c>
      <c r="L1123" s="98" t="str">
        <f ca="1">IF(G1122&gt;=9,(MID(K1123,1,1)&amp;MID(K1123,2,4)+1),CELL("address",AC1123))</f>
        <v>$AC$1123</v>
      </c>
      <c r="M1123" s="98" t="str">
        <f ca="1">IF(G1122&gt;=10,(MID(L1123,1,1)&amp;MID(L1123,2,4)+1),CELL("address",AD1123))</f>
        <v>$AD$1123</v>
      </c>
      <c r="N1123" s="98" t="str">
        <f ca="1">IF(G1122&gt;=11,(MID(M1123,1,1)&amp;MID(M1123,2,4)+1),CELL("address",AE1123))</f>
        <v>$AE$1123</v>
      </c>
      <c r="O1123" s="98" t="str">
        <f ca="1">IF(G1122&gt;=12,(MID(N1123,1,1)&amp;MID(N1123,2,4)+1),CELL("address",AF1123))</f>
        <v>$AF$1123</v>
      </c>
    </row>
    <row r="1124" spans="1:18" ht="15" customHeight="1">
      <c r="A1124" s="306" t="s">
        <v>5</v>
      </c>
      <c r="B1124" s="306"/>
      <c r="C1124" s="64" t="s">
        <v>17</v>
      </c>
      <c r="D1124" s="65" t="s">
        <v>18</v>
      </c>
      <c r="E1124" s="64" t="s">
        <v>7</v>
      </c>
      <c r="G1124" s="168" t="str">
        <f>CONCATENATE("Misc. Healthy parts/ Non Ferrous  Scrap, Lying at ",C1125,". Quantity in MT - ")</f>
        <v>Misc. Healthy parts/ Non Ferrous  Scrap, Lying at CS Malout. Quantity in MT - </v>
      </c>
      <c r="H1124" s="309" t="str">
        <f ca="1">CONCATENATE(G1124,G1125,(INDIRECT(I1125)),(INDIRECT(J1125)),(INDIRECT(K1125)),(INDIRECT(L1125)),(INDIRECT(M1125)),(INDIRECT(N1125)),(INDIRECT(O1125)),(INDIRECT(P1125)),(INDIRECT(Q1125)),(INDIRECT(R1125)),".")</f>
        <v>Misc. Healthy parts/ Non Ferrous  Scrap, Lying at CS Malout. Quantity in MT - Brass scrap - 0.011, .</v>
      </c>
      <c r="I1124" s="98" t="str">
        <f aca="true" ca="1" t="array" ref="I1124">CELL("address",INDEX(G1124:G1142,MATCH(TRUE,ISBLANK(G1124:G1142),0)))</f>
        <v>$G$1126</v>
      </c>
      <c r="J1124" s="98">
        <f aca="true" t="array" ref="J1124">MATCH(TRUE,ISBLANK(G1124:G1142),0)</f>
        <v>3</v>
      </c>
      <c r="K1124" s="98">
        <f>J1124-3</f>
        <v>0</v>
      </c>
      <c r="L1124" s="98"/>
      <c r="M1124" s="98"/>
      <c r="N1124" s="98"/>
      <c r="O1124" s="98"/>
      <c r="P1124" s="98"/>
      <c r="Q1124" s="98"/>
      <c r="R1124" s="98"/>
    </row>
    <row r="1125" spans="1:18" ht="15" customHeight="1">
      <c r="A1125" s="306" t="s">
        <v>133</v>
      </c>
      <c r="B1125" s="306"/>
      <c r="C1125" s="254" t="s">
        <v>95</v>
      </c>
      <c r="D1125" s="45" t="s">
        <v>23</v>
      </c>
      <c r="E1125" s="47">
        <v>0.011</v>
      </c>
      <c r="G1125" s="101" t="str">
        <f>CONCATENATE(D1125," - ",E1125,", ")</f>
        <v>Brass scrap - 0.011, </v>
      </c>
      <c r="H1125" s="309"/>
      <c r="I1125" s="98" t="str">
        <f ca="1">IF(J1124&gt;=3,(MID(I1124,2,1)&amp;MID(I1124,4,4)-K1124),CELL("address",Z1125))</f>
        <v>G1126</v>
      </c>
      <c r="J1125" s="98" t="str">
        <f ca="1">IF(J1124&gt;=4,(MID(I1125,1,1)&amp;MID(I1125,2,4)+1),CELL("address",AA1125))</f>
        <v>$AA$1125</v>
      </c>
      <c r="K1125" s="98" t="str">
        <f ca="1">IF(J1124&gt;=5,(MID(J1125,1,1)&amp;MID(J1125,2,4)+1),CELL("address",AB1125))</f>
        <v>$AB$1125</v>
      </c>
      <c r="L1125" s="98" t="str">
        <f ca="1">IF(J1124&gt;=6,(MID(K1125,1,1)&amp;MID(K1125,2,4)+1),CELL("address",AC1125))</f>
        <v>$AC$1125</v>
      </c>
      <c r="M1125" s="98" t="str">
        <f ca="1">IF(J1124&gt;=7,(MID(L1125,1,1)&amp;MID(L1125,2,4)+1),CELL("address",AD1125))</f>
        <v>$AD$1125</v>
      </c>
      <c r="N1125" s="98" t="str">
        <f ca="1">IF(J1124&gt;=8,(MID(M1125,1,1)&amp;MID(M1125,2,4)+1),CELL("address",AE1125))</f>
        <v>$AE$1125</v>
      </c>
      <c r="O1125" s="98" t="str">
        <f ca="1">IF(J1124&gt;=9,(MID(N1125,1,1)&amp;MID(N1125,2,4)+1),CELL("address",AF1125))</f>
        <v>$AF$1125</v>
      </c>
      <c r="P1125" s="98" t="str">
        <f ca="1">IF(J1124&gt;=10,(MID(O1125,1,1)&amp;MID(O1125,2,4)+1),CELL("address",AG1125))</f>
        <v>$AG$1125</v>
      </c>
      <c r="Q1125" s="98" t="str">
        <f ca="1">IF(J1124&gt;=11,(MID(P1125,1,1)&amp;MID(P1125,2,4)+1),CELL("address",AH1125))</f>
        <v>$AH$1125</v>
      </c>
      <c r="R1125" s="98" t="str">
        <f ca="1">IF(J1124&gt;=12,(MID(Q1125,1,1)&amp;MID(Q1125,2,4)+1),CELL("address",AI1125))</f>
        <v>$AI$1125</v>
      </c>
    </row>
    <row r="1126" spans="1:15" ht="15" customHeight="1">
      <c r="A1126" s="323"/>
      <c r="B1126" s="324"/>
      <c r="C1126" s="92"/>
      <c r="D1126" s="92"/>
      <c r="E1126" s="92"/>
      <c r="F1126" s="98"/>
      <c r="G1126" s="98"/>
      <c r="H1126" s="98"/>
      <c r="I1126" s="98"/>
      <c r="J1126" s="98"/>
      <c r="K1126" s="98"/>
      <c r="L1126" s="98"/>
      <c r="M1126" s="98"/>
      <c r="N1126" s="98"/>
      <c r="O1126" s="98"/>
    </row>
    <row r="1127" spans="1:15" ht="15" customHeight="1">
      <c r="A1127" s="310"/>
      <c r="B1127" s="311"/>
      <c r="C1127" s="66"/>
      <c r="D1127" s="66"/>
      <c r="E1127" s="67">
        <f>SUM(E1129:E1129)</f>
        <v>1</v>
      </c>
      <c r="F1127" s="98"/>
      <c r="G1127" s="98"/>
      <c r="H1127" s="98"/>
      <c r="I1127" s="98" t="str">
        <f ca="1">IF(G1126&gt;=6,(MID(H1127,1,1)&amp;MID(H1127,2,4)+1),CELL("address",Z1127))</f>
        <v>$Z$1127</v>
      </c>
      <c r="J1127" s="98" t="str">
        <f ca="1">IF(G1126&gt;=7,(MID(I1127,1,1)&amp;MID(I1127,2,4)+1),CELL("address",AA1127))</f>
        <v>$AA$1127</v>
      </c>
      <c r="K1127" s="98" t="str">
        <f ca="1">IF(G1126&gt;=8,(MID(J1127,1,1)&amp;MID(J1127,2,4)+1),CELL("address",AB1127))</f>
        <v>$AB$1127</v>
      </c>
      <c r="L1127" s="98" t="str">
        <f ca="1">IF(G1126&gt;=9,(MID(K1127,1,1)&amp;MID(K1127,2,4)+1),CELL("address",AC1127))</f>
        <v>$AC$1127</v>
      </c>
      <c r="M1127" s="98" t="str">
        <f ca="1">IF(G1126&gt;=10,(MID(L1127,1,1)&amp;MID(L1127,2,4)+1),CELL("address",AD1127))</f>
        <v>$AD$1127</v>
      </c>
      <c r="N1127" s="98" t="str">
        <f ca="1">IF(G1126&gt;=11,(MID(M1127,1,1)&amp;MID(M1127,2,4)+1),CELL("address",AE1127))</f>
        <v>$AE$1127</v>
      </c>
      <c r="O1127" s="98" t="str">
        <f ca="1">IF(G1126&gt;=12,(MID(N1127,1,1)&amp;MID(N1127,2,4)+1),CELL("address",AF1127))</f>
        <v>$AF$1127</v>
      </c>
    </row>
    <row r="1128" spans="1:18" ht="15" customHeight="1">
      <c r="A1128" s="306" t="s">
        <v>5</v>
      </c>
      <c r="B1128" s="306"/>
      <c r="C1128" s="64" t="s">
        <v>17</v>
      </c>
      <c r="D1128" s="65" t="s">
        <v>18</v>
      </c>
      <c r="E1128" s="64" t="s">
        <v>7</v>
      </c>
      <c r="G1128" s="168" t="str">
        <f>CONCATENATE("Misc. Healthy parts/ Non Ferrous  Scrap, Lying at ",C1129,". Quantity in MT - ")</f>
        <v>Misc. Healthy parts/ Non Ferrous  Scrap, Lying at TRY Bathinda. Quantity in MT - </v>
      </c>
      <c r="H1128" s="309" t="str">
        <f ca="1">CONCATENATE(G1128,G1129,(INDIRECT(I1129)),(INDIRECT(J1129)),(INDIRECT(K1129)),(INDIRECT(L1129)),(INDIRECT(M1129)),(INDIRECT(N1129)),(INDIRECT(O1129)),(INDIRECT(P1129)),(INDIRECT(Q1129)),(INDIRECT(R1129)),".")</f>
        <v>Misc. Healthy parts/ Non Ferrous  Scrap, Lying at TRY Bathinda. Quantity in MT - Brass scrap - 1, .</v>
      </c>
      <c r="I1128" s="98" t="str">
        <f aca="true" ca="1" t="array" ref="I1128">CELL("address",INDEX(G1128:G1148,MATCH(TRUE,ISBLANK(G1128:G1148),0)))</f>
        <v>$G$1130</v>
      </c>
      <c r="J1128" s="98">
        <f aca="true" t="array" ref="J1128">MATCH(TRUE,ISBLANK(G1128:G1148),0)</f>
        <v>3</v>
      </c>
      <c r="K1128" s="98">
        <f>J1128-3</f>
        <v>0</v>
      </c>
      <c r="L1128" s="98"/>
      <c r="M1128" s="98"/>
      <c r="N1128" s="98"/>
      <c r="O1128" s="98"/>
      <c r="P1128" s="98"/>
      <c r="Q1128" s="98"/>
      <c r="R1128" s="98"/>
    </row>
    <row r="1129" spans="1:18" ht="15" customHeight="1">
      <c r="A1129" s="306" t="s">
        <v>134</v>
      </c>
      <c r="B1129" s="306"/>
      <c r="C1129" s="254" t="s">
        <v>36</v>
      </c>
      <c r="D1129" s="40" t="s">
        <v>23</v>
      </c>
      <c r="E1129" s="46">
        <v>1</v>
      </c>
      <c r="G1129" s="101" t="str">
        <f>CONCATENATE(D1129," - ",E1129,", ")</f>
        <v>Brass scrap - 1, </v>
      </c>
      <c r="H1129" s="309"/>
      <c r="I1129" s="98" t="str">
        <f ca="1">IF(J1128&gt;=3,(MID(I1128,2,1)&amp;MID(I1128,4,4)-K1128),CELL("address",Z1129))</f>
        <v>G1130</v>
      </c>
      <c r="J1129" s="98" t="str">
        <f ca="1">IF(J1128&gt;=4,(MID(I1129,1,1)&amp;MID(I1129,2,4)+1),CELL("address",AA1129))</f>
        <v>$AA$1129</v>
      </c>
      <c r="K1129" s="98" t="str">
        <f ca="1">IF(J1128&gt;=5,(MID(J1129,1,1)&amp;MID(J1129,2,4)+1),CELL("address",AB1129))</f>
        <v>$AB$1129</v>
      </c>
      <c r="L1129" s="98" t="str">
        <f ca="1">IF(J1128&gt;=6,(MID(K1129,1,1)&amp;MID(K1129,2,4)+1),CELL("address",AC1129))</f>
        <v>$AC$1129</v>
      </c>
      <c r="M1129" s="98" t="str">
        <f ca="1">IF(J1128&gt;=7,(MID(L1129,1,1)&amp;MID(L1129,2,4)+1),CELL("address",AD1129))</f>
        <v>$AD$1129</v>
      </c>
      <c r="N1129" s="98" t="str">
        <f ca="1">IF(J1128&gt;=8,(MID(M1129,1,1)&amp;MID(M1129,2,4)+1),CELL("address",AE1129))</f>
        <v>$AE$1129</v>
      </c>
      <c r="O1129" s="98" t="str">
        <f ca="1">IF(J1128&gt;=9,(MID(N1129,1,1)&amp;MID(N1129,2,4)+1),CELL("address",AF1129))</f>
        <v>$AF$1129</v>
      </c>
      <c r="P1129" s="98" t="str">
        <f ca="1">IF(J1128&gt;=10,(MID(O1129,1,1)&amp;MID(O1129,2,4)+1),CELL("address",AG1129))</f>
        <v>$AG$1129</v>
      </c>
      <c r="Q1129" s="98" t="str">
        <f ca="1">IF(J1128&gt;=11,(MID(P1129,1,1)&amp;MID(P1129,2,4)+1),CELL("address",AH1129))</f>
        <v>$AH$1129</v>
      </c>
      <c r="R1129" s="98" t="str">
        <f ca="1">IF(J1128&gt;=12,(MID(Q1129,1,1)&amp;MID(Q1129,2,4)+1),CELL("address",AI1129))</f>
        <v>$AI$1129</v>
      </c>
    </row>
    <row r="1130" spans="1:15" ht="15" customHeight="1">
      <c r="A1130" s="323"/>
      <c r="B1130" s="324"/>
      <c r="C1130" s="92"/>
      <c r="D1130" s="92"/>
      <c r="E1130" s="92"/>
      <c r="F1130" s="98"/>
      <c r="G1130" s="98"/>
      <c r="H1130" s="98"/>
      <c r="I1130" s="98"/>
      <c r="J1130" s="98"/>
      <c r="K1130" s="98"/>
      <c r="L1130" s="98"/>
      <c r="M1130" s="98"/>
      <c r="N1130" s="98"/>
      <c r="O1130" s="98"/>
    </row>
    <row r="1131" spans="1:15" ht="15" customHeight="1">
      <c r="A1131" s="310"/>
      <c r="B1131" s="311"/>
      <c r="C1131" s="66"/>
      <c r="D1131" s="66"/>
      <c r="E1131" s="67">
        <f>SUM(E1133:E1133)</f>
        <v>1</v>
      </c>
      <c r="F1131" s="98"/>
      <c r="G1131" s="98"/>
      <c r="H1131" s="98"/>
      <c r="I1131" s="98" t="str">
        <f ca="1">IF(G1130&gt;=6,(MID(H1131,1,1)&amp;MID(H1131,2,4)+1),CELL("address",Z1131))</f>
        <v>$Z$1131</v>
      </c>
      <c r="J1131" s="98" t="str">
        <f ca="1">IF(G1130&gt;=7,(MID(I1131,1,1)&amp;MID(I1131,2,4)+1),CELL("address",AA1131))</f>
        <v>$AA$1131</v>
      </c>
      <c r="K1131" s="98" t="str">
        <f ca="1">IF(G1130&gt;=8,(MID(J1131,1,1)&amp;MID(J1131,2,4)+1),CELL("address",AB1131))</f>
        <v>$AB$1131</v>
      </c>
      <c r="L1131" s="98" t="str">
        <f ca="1">IF(G1130&gt;=9,(MID(K1131,1,1)&amp;MID(K1131,2,4)+1),CELL("address",AC1131))</f>
        <v>$AC$1131</v>
      </c>
      <c r="M1131" s="98" t="str">
        <f ca="1">IF(G1130&gt;=10,(MID(L1131,1,1)&amp;MID(L1131,2,4)+1),CELL("address",AD1131))</f>
        <v>$AD$1131</v>
      </c>
      <c r="N1131" s="98" t="str">
        <f ca="1">IF(G1130&gt;=11,(MID(M1131,1,1)&amp;MID(M1131,2,4)+1),CELL("address",AE1131))</f>
        <v>$AE$1131</v>
      </c>
      <c r="O1131" s="98" t="str">
        <f ca="1">IF(G1130&gt;=12,(MID(N1131,1,1)&amp;MID(N1131,2,4)+1),CELL("address",AF1131))</f>
        <v>$AF$1131</v>
      </c>
    </row>
    <row r="1132" spans="1:18" ht="15" customHeight="1">
      <c r="A1132" s="306" t="s">
        <v>5</v>
      </c>
      <c r="B1132" s="306"/>
      <c r="C1132" s="64" t="s">
        <v>17</v>
      </c>
      <c r="D1132" s="65" t="s">
        <v>18</v>
      </c>
      <c r="E1132" s="64" t="s">
        <v>7</v>
      </c>
      <c r="G1132" s="168" t="str">
        <f>CONCATENATE("Misc. Healthy parts/ Non Ferrous  Scrap, Lying at ",C1133,". Quantity in MT - ")</f>
        <v>Misc. Healthy parts/ Non Ferrous  Scrap, Lying at TRY Bathinda. Quantity in MT - </v>
      </c>
      <c r="H1132" s="309" t="str">
        <f ca="1">CONCATENATE(G1132,G1133,(INDIRECT(I1133)),(INDIRECT(J1133)),(INDIRECT(K1133)),(INDIRECT(L1133)),(INDIRECT(M1133)),(INDIRECT(N1133)),(INDIRECT(O1133)),(INDIRECT(P1133)),(INDIRECT(Q1133)),(INDIRECT(R1133)),".")</f>
        <v>Misc. Healthy parts/ Non Ferrous  Scrap, Lying at TRY Bathinda. Quantity in MT - Brass scrap - 1, .</v>
      </c>
      <c r="I1132" s="98" t="str">
        <f aca="true" ca="1" t="array" ref="I1132">CELL("address",INDEX(G1132:G1152,MATCH(TRUE,ISBLANK(G1132:G1152),0)))</f>
        <v>$G$1134</v>
      </c>
      <c r="J1132" s="98">
        <f aca="true" t="array" ref="J1132">MATCH(TRUE,ISBLANK(G1132:G1152),0)</f>
        <v>3</v>
      </c>
      <c r="K1132" s="98">
        <f>J1132-3</f>
        <v>0</v>
      </c>
      <c r="L1132" s="98"/>
      <c r="M1132" s="98"/>
      <c r="N1132" s="98"/>
      <c r="O1132" s="98"/>
      <c r="P1132" s="98"/>
      <c r="Q1132" s="98"/>
      <c r="R1132" s="98"/>
    </row>
    <row r="1133" spans="1:18" ht="15" customHeight="1">
      <c r="A1133" s="306" t="s">
        <v>141</v>
      </c>
      <c r="B1133" s="306"/>
      <c r="C1133" s="254" t="s">
        <v>36</v>
      </c>
      <c r="D1133" s="40" t="s">
        <v>23</v>
      </c>
      <c r="E1133" s="46">
        <v>1</v>
      </c>
      <c r="G1133" s="101" t="str">
        <f>CONCATENATE(D1133," - ",E1133,", ")</f>
        <v>Brass scrap - 1, </v>
      </c>
      <c r="H1133" s="309"/>
      <c r="I1133" s="98" t="str">
        <f ca="1">IF(J1132&gt;=3,(MID(I1132,2,1)&amp;MID(I1132,4,4)-K1132),CELL("address",Z1133))</f>
        <v>G1134</v>
      </c>
      <c r="J1133" s="98" t="str">
        <f ca="1">IF(J1132&gt;=4,(MID(I1133,1,1)&amp;MID(I1133,2,4)+1),CELL("address",AA1133))</f>
        <v>$AA$1133</v>
      </c>
      <c r="K1133" s="98" t="str">
        <f ca="1">IF(J1132&gt;=5,(MID(J1133,1,1)&amp;MID(J1133,2,4)+1),CELL("address",AB1133))</f>
        <v>$AB$1133</v>
      </c>
      <c r="L1133" s="98" t="str">
        <f ca="1">IF(J1132&gt;=6,(MID(K1133,1,1)&amp;MID(K1133,2,4)+1),CELL("address",AC1133))</f>
        <v>$AC$1133</v>
      </c>
      <c r="M1133" s="98" t="str">
        <f ca="1">IF(J1132&gt;=7,(MID(L1133,1,1)&amp;MID(L1133,2,4)+1),CELL("address",AD1133))</f>
        <v>$AD$1133</v>
      </c>
      <c r="N1133" s="98" t="str">
        <f ca="1">IF(J1132&gt;=8,(MID(M1133,1,1)&amp;MID(M1133,2,4)+1),CELL("address",AE1133))</f>
        <v>$AE$1133</v>
      </c>
      <c r="O1133" s="98" t="str">
        <f ca="1">IF(J1132&gt;=9,(MID(N1133,1,1)&amp;MID(N1133,2,4)+1),CELL("address",AF1133))</f>
        <v>$AF$1133</v>
      </c>
      <c r="P1133" s="98" t="str">
        <f ca="1">IF(J1132&gt;=10,(MID(O1133,1,1)&amp;MID(O1133,2,4)+1),CELL("address",AG1133))</f>
        <v>$AG$1133</v>
      </c>
      <c r="Q1133" s="98" t="str">
        <f ca="1">IF(J1132&gt;=11,(MID(P1133,1,1)&amp;MID(P1133,2,4)+1),CELL("address",AH1133))</f>
        <v>$AH$1133</v>
      </c>
      <c r="R1133" s="98" t="str">
        <f ca="1">IF(J1132&gt;=12,(MID(Q1133,1,1)&amp;MID(Q1133,2,4)+1),CELL("address",AI1133))</f>
        <v>$AI$1133</v>
      </c>
    </row>
    <row r="1134" spans="1:15" ht="15" customHeight="1">
      <c r="A1134" s="323"/>
      <c r="B1134" s="324"/>
      <c r="C1134" s="92"/>
      <c r="D1134" s="92"/>
      <c r="E1134" s="92"/>
      <c r="F1134" s="98"/>
      <c r="G1134" s="98"/>
      <c r="H1134" s="98"/>
      <c r="I1134" s="98"/>
      <c r="J1134" s="98"/>
      <c r="K1134" s="98"/>
      <c r="L1134" s="98"/>
      <c r="M1134" s="98"/>
      <c r="N1134" s="98"/>
      <c r="O1134" s="98"/>
    </row>
    <row r="1135" spans="1:15" ht="15" customHeight="1">
      <c r="A1135" s="310"/>
      <c r="B1135" s="311"/>
      <c r="C1135" s="66"/>
      <c r="D1135" s="66"/>
      <c r="E1135" s="67">
        <f>SUM(E1137:E1137)</f>
        <v>1</v>
      </c>
      <c r="F1135" s="98"/>
      <c r="G1135" s="98"/>
      <c r="H1135" s="98"/>
      <c r="I1135" s="98" t="str">
        <f ca="1">IF(G1134&gt;=6,(MID(H1135,1,1)&amp;MID(H1135,2,4)+1),CELL("address",Z1135))</f>
        <v>$Z$1135</v>
      </c>
      <c r="J1135" s="98" t="str">
        <f ca="1">IF(G1134&gt;=7,(MID(I1135,1,1)&amp;MID(I1135,2,4)+1),CELL("address",AA1135))</f>
        <v>$AA$1135</v>
      </c>
      <c r="K1135" s="98" t="str">
        <f ca="1">IF(G1134&gt;=8,(MID(J1135,1,1)&amp;MID(J1135,2,4)+1),CELL("address",AB1135))</f>
        <v>$AB$1135</v>
      </c>
      <c r="L1135" s="98" t="str">
        <f ca="1">IF(G1134&gt;=9,(MID(K1135,1,1)&amp;MID(K1135,2,4)+1),CELL("address",AC1135))</f>
        <v>$AC$1135</v>
      </c>
      <c r="M1135" s="98" t="str">
        <f ca="1">IF(G1134&gt;=10,(MID(L1135,1,1)&amp;MID(L1135,2,4)+1),CELL("address",AD1135))</f>
        <v>$AD$1135</v>
      </c>
      <c r="N1135" s="98" t="str">
        <f ca="1">IF(G1134&gt;=11,(MID(M1135,1,1)&amp;MID(M1135,2,4)+1),CELL("address",AE1135))</f>
        <v>$AE$1135</v>
      </c>
      <c r="O1135" s="98" t="str">
        <f ca="1">IF(G1134&gt;=12,(MID(N1135,1,1)&amp;MID(N1135,2,4)+1),CELL("address",AF1135))</f>
        <v>$AF$1135</v>
      </c>
    </row>
    <row r="1136" spans="1:18" ht="15" customHeight="1">
      <c r="A1136" s="306" t="s">
        <v>5</v>
      </c>
      <c r="B1136" s="306"/>
      <c r="C1136" s="64" t="s">
        <v>17</v>
      </c>
      <c r="D1136" s="65" t="s">
        <v>18</v>
      </c>
      <c r="E1136" s="64" t="s">
        <v>7</v>
      </c>
      <c r="G1136" s="168" t="str">
        <f>CONCATENATE("Misc. Healthy parts/ Non Ferrous  Scrap, Lying at ",C1137,". Quantity in MT - ")</f>
        <v>Misc. Healthy parts/ Non Ferrous  Scrap, Lying at TRY Bathinda. Quantity in MT - </v>
      </c>
      <c r="H1136" s="309" t="str">
        <f ca="1">CONCATENATE(G1136,G1137,(INDIRECT(I1137)),(INDIRECT(J1137)),(INDIRECT(K1137)),(INDIRECT(L1137)),(INDIRECT(M1137)),(INDIRECT(N1137)),(INDIRECT(O1137)),(INDIRECT(P1137)),(INDIRECT(Q1137)),(INDIRECT(R1137)),".")</f>
        <v>Misc. Healthy parts/ Non Ferrous  Scrap, Lying at TRY Bathinda. Quantity in MT - Brass scrap - 1, .</v>
      </c>
      <c r="I1136" s="98" t="str">
        <f aca="true" ca="1" t="array" ref="I1136">CELL("address",INDEX(G1136:G1156,MATCH(TRUE,ISBLANK(G1136:G1156),0)))</f>
        <v>$G$1138</v>
      </c>
      <c r="J1136" s="98">
        <f aca="true" t="array" ref="J1136">MATCH(TRUE,ISBLANK(G1136:G1156),0)</f>
        <v>3</v>
      </c>
      <c r="K1136" s="98">
        <f>J1136-3</f>
        <v>0</v>
      </c>
      <c r="L1136" s="98"/>
      <c r="M1136" s="98"/>
      <c r="N1136" s="98"/>
      <c r="O1136" s="98"/>
      <c r="P1136" s="98"/>
      <c r="Q1136" s="98"/>
      <c r="R1136" s="98"/>
    </row>
    <row r="1137" spans="1:18" ht="15" customHeight="1">
      <c r="A1137" s="306" t="s">
        <v>195</v>
      </c>
      <c r="B1137" s="306"/>
      <c r="C1137" s="254" t="s">
        <v>36</v>
      </c>
      <c r="D1137" s="40" t="s">
        <v>23</v>
      </c>
      <c r="E1137" s="46">
        <v>1</v>
      </c>
      <c r="G1137" s="101" t="str">
        <f>CONCATENATE(D1137," - ",E1137,", ")</f>
        <v>Brass scrap - 1, </v>
      </c>
      <c r="H1137" s="309"/>
      <c r="I1137" s="98" t="str">
        <f ca="1">IF(J1136&gt;=3,(MID(I1136,2,1)&amp;MID(I1136,4,4)-K1136),CELL("address",Z1137))</f>
        <v>G1138</v>
      </c>
      <c r="J1137" s="98" t="str">
        <f ca="1">IF(J1136&gt;=4,(MID(I1137,1,1)&amp;MID(I1137,2,4)+1),CELL("address",AA1137))</f>
        <v>$AA$1137</v>
      </c>
      <c r="K1137" s="98" t="str">
        <f ca="1">IF(J1136&gt;=5,(MID(J1137,1,1)&amp;MID(J1137,2,4)+1),CELL("address",AB1137))</f>
        <v>$AB$1137</v>
      </c>
      <c r="L1137" s="98" t="str">
        <f ca="1">IF(J1136&gt;=6,(MID(K1137,1,1)&amp;MID(K1137,2,4)+1),CELL("address",AC1137))</f>
        <v>$AC$1137</v>
      </c>
      <c r="M1137" s="98" t="str">
        <f ca="1">IF(J1136&gt;=7,(MID(L1137,1,1)&amp;MID(L1137,2,4)+1),CELL("address",AD1137))</f>
        <v>$AD$1137</v>
      </c>
      <c r="N1137" s="98" t="str">
        <f ca="1">IF(J1136&gt;=8,(MID(M1137,1,1)&amp;MID(M1137,2,4)+1),CELL("address",AE1137))</f>
        <v>$AE$1137</v>
      </c>
      <c r="O1137" s="98" t="str">
        <f ca="1">IF(J1136&gt;=9,(MID(N1137,1,1)&amp;MID(N1137,2,4)+1),CELL("address",AF1137))</f>
        <v>$AF$1137</v>
      </c>
      <c r="P1137" s="98" t="str">
        <f ca="1">IF(J1136&gt;=10,(MID(O1137,1,1)&amp;MID(O1137,2,4)+1),CELL("address",AG1137))</f>
        <v>$AG$1137</v>
      </c>
      <c r="Q1137" s="98" t="str">
        <f ca="1">IF(J1136&gt;=11,(MID(P1137,1,1)&amp;MID(P1137,2,4)+1),CELL("address",AH1137))</f>
        <v>$AH$1137</v>
      </c>
      <c r="R1137" s="98" t="str">
        <f ca="1">IF(J1136&gt;=12,(MID(Q1137,1,1)&amp;MID(Q1137,2,4)+1),CELL("address",AI1137))</f>
        <v>$AI$1137</v>
      </c>
    </row>
    <row r="1138" spans="1:15" ht="15" customHeight="1">
      <c r="A1138" s="323"/>
      <c r="B1138" s="324"/>
      <c r="C1138" s="92"/>
      <c r="D1138" s="92"/>
      <c r="E1138" s="92"/>
      <c r="F1138" s="98"/>
      <c r="G1138" s="98"/>
      <c r="H1138" s="98"/>
      <c r="I1138" s="98"/>
      <c r="J1138" s="98"/>
      <c r="K1138" s="98"/>
      <c r="L1138" s="98"/>
      <c r="M1138" s="98"/>
      <c r="N1138" s="98"/>
      <c r="O1138" s="98"/>
    </row>
    <row r="1139" spans="1:8" ht="15" customHeight="1">
      <c r="A1139" s="310"/>
      <c r="B1139" s="311"/>
      <c r="C1139" s="66"/>
      <c r="D1139" s="66"/>
      <c r="E1139" s="67">
        <f>SUM(E1141:E1145)</f>
        <v>3.617</v>
      </c>
      <c r="H1139" s="1"/>
    </row>
    <row r="1140" spans="1:18" ht="15" customHeight="1">
      <c r="A1140" s="306" t="s">
        <v>5</v>
      </c>
      <c r="B1140" s="306"/>
      <c r="C1140" s="64" t="s">
        <v>17</v>
      </c>
      <c r="D1140" s="65" t="s">
        <v>18</v>
      </c>
      <c r="E1140" s="64" t="s">
        <v>7</v>
      </c>
      <c r="F1140" s="98"/>
      <c r="G1140" s="168" t="str">
        <f>CONCATENATE("Misc. Healthy parts/ Non Ferrous  Scrap, Lying at ",C1141,". Quantity in MT - ")</f>
        <v>Misc. Healthy parts/ Non Ferrous  Scrap, Lying at TRY Kotkapura. Quantity in MT - </v>
      </c>
      <c r="H1140" s="309" t="str">
        <f ca="1">CONCATENATE(G1140,G1141,(INDIRECT(I1141)),(INDIRECT(J1141)),(INDIRECT(K1141)),(INDIRECT(L1141)),(INDIRECT(M1141)),(INDIRECT(N1141)),(INDIRECT(O1141)),(INDIRECT(P1141)),(INDIRECT(Q1141)),(INDIRECT(R1141)),".")</f>
        <v>Misc. Healthy parts/ Non Ferrous  Scrap, Lying at TRY Kotkapura. Quantity in MT - Brass scrap - 2.059, Misc. Alumn. Scrap - 0.324, Iron scrap - 0.128, Burnt Cu scrap - 0.052, Nuts &amp; Bolts scrap - 1.054, .</v>
      </c>
      <c r="I1140" s="98" t="str">
        <f aca="true" ca="1" t="array" ref="I1140">CELL("address",INDEX(G1140:G1164,MATCH(TRUE,ISBLANK(G1140:G1164),0)))</f>
        <v>$G$1146</v>
      </c>
      <c r="J1140" s="98">
        <f aca="true" t="array" ref="J1140">MATCH(TRUE,ISBLANK(G1140:G1164),0)</f>
        <v>7</v>
      </c>
      <c r="K1140" s="98">
        <f>J1140-3</f>
        <v>4</v>
      </c>
      <c r="L1140" s="98"/>
      <c r="M1140" s="98"/>
      <c r="N1140" s="98"/>
      <c r="O1140" s="98"/>
      <c r="P1140" s="98"/>
      <c r="Q1140" s="98"/>
      <c r="R1140" s="98"/>
    </row>
    <row r="1141" spans="1:18" ht="15" customHeight="1">
      <c r="A1141" s="306" t="s">
        <v>202</v>
      </c>
      <c r="B1141" s="306"/>
      <c r="C1141" s="308" t="s">
        <v>245</v>
      </c>
      <c r="D1141" s="45" t="s">
        <v>23</v>
      </c>
      <c r="E1141" s="47">
        <v>2.059</v>
      </c>
      <c r="F1141" s="98"/>
      <c r="G1141" s="101" t="str">
        <f>CONCATENATE(D1141," - ",E1141,", ")</f>
        <v>Brass scrap - 2.059, </v>
      </c>
      <c r="H1141" s="309"/>
      <c r="I1141" s="98" t="str">
        <f ca="1">IF(J1140&gt;=3,(MID(I1140,2,1)&amp;MID(I1140,4,4)-K1140),CELL("address",Z1141))</f>
        <v>G1142</v>
      </c>
      <c r="J1141" s="98" t="str">
        <f ca="1">IF(J1140&gt;=4,(MID(I1141,1,1)&amp;MID(I1141,2,4)+1),CELL("address",AA1141))</f>
        <v>G1143</v>
      </c>
      <c r="K1141" s="98" t="str">
        <f ca="1">IF(J1140&gt;=5,(MID(J1141,1,1)&amp;MID(J1141,2,4)+1),CELL("address",AB1141))</f>
        <v>G1144</v>
      </c>
      <c r="L1141" s="98" t="str">
        <f ca="1">IF(J1140&gt;=6,(MID(K1141,1,1)&amp;MID(K1141,2,4)+1),CELL("address",AC1141))</f>
        <v>G1145</v>
      </c>
      <c r="M1141" s="98" t="str">
        <f ca="1">IF(J1140&gt;=7,(MID(L1141,1,1)&amp;MID(L1141,2,4)+1),CELL("address",AD1141))</f>
        <v>G1146</v>
      </c>
      <c r="N1141" s="98" t="str">
        <f ca="1">IF(J1140&gt;=8,(MID(M1141,1,1)&amp;MID(M1141,2,4)+1),CELL("address",AE1141))</f>
        <v>$AE$1141</v>
      </c>
      <c r="O1141" s="98" t="str">
        <f ca="1">IF(J1140&gt;=9,(MID(N1141,1,1)&amp;MID(N1141,2,4)+1),CELL("address",AF1141))</f>
        <v>$AF$1141</v>
      </c>
      <c r="P1141" s="98" t="str">
        <f ca="1">IF(J1140&gt;=10,(MID(O1141,1,1)&amp;MID(O1141,2,4)+1),CELL("address",AG1141))</f>
        <v>$AG$1141</v>
      </c>
      <c r="Q1141" s="98" t="str">
        <f ca="1">IF(J1140&gt;=11,(MID(P1141,1,1)&amp;MID(P1141,2,4)+1),CELL("address",AH1141))</f>
        <v>$AH$1141</v>
      </c>
      <c r="R1141" s="98" t="str">
        <f ca="1">IF(J1140&gt;=12,(MID(Q1141,1,1)&amp;MID(Q1141,2,4)+1),CELL("address",AI1141))</f>
        <v>$AI$1141</v>
      </c>
    </row>
    <row r="1142" spans="1:8" ht="15" customHeight="1">
      <c r="A1142" s="306"/>
      <c r="B1142" s="306"/>
      <c r="C1142" s="308"/>
      <c r="D1142" s="45" t="s">
        <v>31</v>
      </c>
      <c r="E1142" s="64">
        <v>0.324</v>
      </c>
      <c r="G1142" s="101" t="str">
        <f>CONCATENATE(D1142," - ",E1142,", ")</f>
        <v>Misc. Alumn. Scrap - 0.324, </v>
      </c>
      <c r="H1142" s="1"/>
    </row>
    <row r="1143" spans="1:8" ht="15" customHeight="1">
      <c r="A1143" s="306"/>
      <c r="B1143" s="306"/>
      <c r="C1143" s="308"/>
      <c r="D1143" s="40" t="s">
        <v>27</v>
      </c>
      <c r="E1143" s="64">
        <v>0.128</v>
      </c>
      <c r="G1143" s="101" t="str">
        <f>CONCATENATE(D1143," - ",E1143,", ")</f>
        <v>Iron scrap - 0.128, </v>
      </c>
      <c r="H1143" s="1"/>
    </row>
    <row r="1144" spans="1:8" ht="15" customHeight="1">
      <c r="A1144" s="306"/>
      <c r="B1144" s="306"/>
      <c r="C1144" s="308"/>
      <c r="D1144" s="40" t="s">
        <v>37</v>
      </c>
      <c r="E1144" s="64">
        <v>0.052</v>
      </c>
      <c r="G1144" s="101" t="str">
        <f>CONCATENATE(D1144," - ",E1144,", ")</f>
        <v>Burnt Cu scrap - 0.052, </v>
      </c>
      <c r="H1144" s="1"/>
    </row>
    <row r="1145" spans="1:8" ht="15" customHeight="1">
      <c r="A1145" s="306"/>
      <c r="B1145" s="306"/>
      <c r="C1145" s="308"/>
      <c r="D1145" s="40" t="s">
        <v>58</v>
      </c>
      <c r="E1145" s="64">
        <v>1.054</v>
      </c>
      <c r="G1145" s="101" t="str">
        <f>CONCATENATE(D1145," - ",E1145,", ")</f>
        <v>Nuts &amp; Bolts scrap - 1.054, </v>
      </c>
      <c r="H1145" s="1"/>
    </row>
    <row r="1146" spans="1:8" ht="15" customHeight="1">
      <c r="A1146" s="304"/>
      <c r="B1146" s="307"/>
      <c r="C1146" s="254"/>
      <c r="D1146" s="214"/>
      <c r="E1146" s="103"/>
      <c r="H1146" s="1"/>
    </row>
    <row r="1147" spans="1:8" ht="15" customHeight="1">
      <c r="A1147" s="310"/>
      <c r="B1147" s="311"/>
      <c r="C1147" s="66"/>
      <c r="D1147" s="66"/>
      <c r="E1147" s="67">
        <f>SUM(E1149:E1152)</f>
        <v>1.557</v>
      </c>
      <c r="H1147" s="1"/>
    </row>
    <row r="1148" spans="1:18" ht="15" customHeight="1">
      <c r="A1148" s="304" t="s">
        <v>5</v>
      </c>
      <c r="B1148" s="307"/>
      <c r="C1148" s="64" t="s">
        <v>17</v>
      </c>
      <c r="D1148" s="65" t="s">
        <v>18</v>
      </c>
      <c r="E1148" s="64" t="s">
        <v>7</v>
      </c>
      <c r="G1148" s="168" t="str">
        <f>CONCATENATE("Misc. Healthy parts/ Non Ferrous  Scrap, Lying at ",C1149,". Quantity in MT - ")</f>
        <v>Misc. Healthy parts/ Non Ferrous  Scrap, Lying at TRY Mansa. Quantity in MT - </v>
      </c>
      <c r="H1148" s="309" t="str">
        <f ca="1">CONCATENATE(G1148,G1149,(INDIRECT(I1149)),(INDIRECT(J1149)),(INDIRECT(K1149)),(INDIRECT(L1149)),(INDIRECT(M1149)),(INDIRECT(N1149)),(INDIRECT(O1149)),(INDIRECT(P1149)),(INDIRECT(Q1149)),(INDIRECT(R1149)),".")</f>
        <v>Misc. Healthy parts/ Non Ferrous  Scrap, Lying at TRY Mansa. Quantity in MT - Brass scrap - 1.302, Misc. Aluminium scrap - 0.147, Burnt Cu scrap - 0.027,  Iron scrap - 0.081, .</v>
      </c>
      <c r="I1148" s="98" t="str">
        <f aca="true" ca="1" t="array" ref="I1148">CELL("address",INDEX(G1148:G1170,MATCH(TRUE,ISBLANK(G1148:G1170),0)))</f>
        <v>$G$1153</v>
      </c>
      <c r="J1148" s="98">
        <f aca="true" t="array" ref="J1148">MATCH(TRUE,ISBLANK(G1148:G1170),0)</f>
        <v>6</v>
      </c>
      <c r="K1148" s="98">
        <f>J1148-3</f>
        <v>3</v>
      </c>
      <c r="L1148" s="98"/>
      <c r="M1148" s="98"/>
      <c r="N1148" s="98"/>
      <c r="O1148" s="98"/>
      <c r="P1148" s="98"/>
      <c r="Q1148" s="98"/>
      <c r="R1148" s="98"/>
    </row>
    <row r="1149" spans="1:18" ht="15" customHeight="1">
      <c r="A1149" s="306" t="s">
        <v>209</v>
      </c>
      <c r="B1149" s="306"/>
      <c r="C1149" s="308" t="s">
        <v>166</v>
      </c>
      <c r="D1149" s="40" t="s">
        <v>23</v>
      </c>
      <c r="E1149" s="46">
        <v>1.302</v>
      </c>
      <c r="F1149" s="98"/>
      <c r="G1149" s="101" t="str">
        <f>CONCATENATE(D1149," - ",E1149,", ")</f>
        <v>Brass scrap - 1.302, </v>
      </c>
      <c r="H1149" s="309"/>
      <c r="I1149" s="98" t="str">
        <f ca="1">IF(J1148&gt;=3,(MID(I1148,2,1)&amp;MID(I1148,4,4)-K1148),CELL("address",Z1149))</f>
        <v>G1150</v>
      </c>
      <c r="J1149" s="98" t="str">
        <f ca="1">IF(J1148&gt;=4,(MID(I1149,1,1)&amp;MID(I1149,2,4)+1),CELL("address",AA1149))</f>
        <v>G1151</v>
      </c>
      <c r="K1149" s="98" t="str">
        <f ca="1">IF(J1148&gt;=5,(MID(J1149,1,1)&amp;MID(J1149,2,4)+1),CELL("address",AB1149))</f>
        <v>G1152</v>
      </c>
      <c r="L1149" s="98" t="str">
        <f ca="1">IF(J1148&gt;=6,(MID(K1149,1,1)&amp;MID(K1149,2,4)+1),CELL("address",AC1149))</f>
        <v>G1153</v>
      </c>
      <c r="M1149" s="98" t="str">
        <f ca="1">IF(J1148&gt;=7,(MID(L1149,1,1)&amp;MID(L1149,2,4)+1),CELL("address",AD1149))</f>
        <v>$AD$1149</v>
      </c>
      <c r="N1149" s="98" t="str">
        <f ca="1">IF(J1148&gt;=8,(MID(M1149,1,1)&amp;MID(M1149,2,4)+1),CELL("address",AE1149))</f>
        <v>$AE$1149</v>
      </c>
      <c r="O1149" s="98" t="str">
        <f ca="1">IF(J1148&gt;=9,(MID(N1149,1,1)&amp;MID(N1149,2,4)+1),CELL("address",AF1149))</f>
        <v>$AF$1149</v>
      </c>
      <c r="P1149" s="98" t="str">
        <f ca="1">IF(J1148&gt;=10,(MID(O1149,1,1)&amp;MID(O1149,2,4)+1),CELL("address",AG1149))</f>
        <v>$AG$1149</v>
      </c>
      <c r="Q1149" s="98" t="str">
        <f ca="1">IF(J1148&gt;=11,(MID(P1149,1,1)&amp;MID(P1149,2,4)+1),CELL("address",AH1149))</f>
        <v>$AH$1149</v>
      </c>
      <c r="R1149" s="98" t="str">
        <f ca="1">IF(J1148&gt;=12,(MID(Q1149,1,1)&amp;MID(Q1149,2,4)+1),CELL("address",AI1149))</f>
        <v>$AI$1149</v>
      </c>
    </row>
    <row r="1150" spans="1:15" ht="15" customHeight="1">
      <c r="A1150" s="306"/>
      <c r="B1150" s="306"/>
      <c r="C1150" s="308"/>
      <c r="D1150" s="40" t="s">
        <v>24</v>
      </c>
      <c r="E1150" s="46">
        <v>0.147</v>
      </c>
      <c r="F1150" s="98"/>
      <c r="G1150" s="101" t="str">
        <f>CONCATENATE(D1150," - ",E1150,", ")</f>
        <v>Misc. Aluminium scrap - 0.147, </v>
      </c>
      <c r="H1150" s="98"/>
      <c r="I1150" s="98" t="e">
        <f ca="1">IF(G1149&gt;=6,(MID(H1150,1,1)&amp;MID(H1150,2,4)+1),CELL("address",Z1150))</f>
        <v>#VALUE!</v>
      </c>
      <c r="J1150" s="98" t="e">
        <f ca="1">IF(G1149&gt;=7,(MID(I1150,1,1)&amp;MID(I1150,2,4)+1),CELL("address",AA1150))</f>
        <v>#VALUE!</v>
      </c>
      <c r="K1150" s="98" t="e">
        <f ca="1">IF(G1149&gt;=8,(MID(J1150,1,1)&amp;MID(J1150,2,4)+1),CELL("address",AB1150))</f>
        <v>#VALUE!</v>
      </c>
      <c r="L1150" s="98" t="e">
        <f ca="1">IF(G1149&gt;=9,(MID(K1150,1,1)&amp;MID(K1150,2,4)+1),CELL("address",AC1150))</f>
        <v>#VALUE!</v>
      </c>
      <c r="M1150" s="98" t="e">
        <f ca="1">IF(G1149&gt;=10,(MID(L1150,1,1)&amp;MID(L1150,2,4)+1),CELL("address",AD1150))</f>
        <v>#VALUE!</v>
      </c>
      <c r="N1150" s="98" t="e">
        <f ca="1">IF(G1149&gt;=11,(MID(M1150,1,1)&amp;MID(M1150,2,4)+1),CELL("address",AE1150))</f>
        <v>#VALUE!</v>
      </c>
      <c r="O1150" s="98" t="e">
        <f ca="1">IF(G1149&gt;=12,(MID(N1150,1,1)&amp;MID(N1150,2,4)+1),CELL("address",AF1150))</f>
        <v>#VALUE!</v>
      </c>
    </row>
    <row r="1151" spans="1:8" ht="15" customHeight="1">
      <c r="A1151" s="306"/>
      <c r="B1151" s="306"/>
      <c r="C1151" s="308"/>
      <c r="D1151" s="40" t="s">
        <v>37</v>
      </c>
      <c r="E1151" s="46">
        <v>0.027</v>
      </c>
      <c r="G1151" s="101" t="str">
        <f>CONCATENATE(D1151," - ",E1151,", ")</f>
        <v>Burnt Cu scrap - 0.027, </v>
      </c>
      <c r="H1151" s="1"/>
    </row>
    <row r="1152" spans="1:8" ht="15" customHeight="1">
      <c r="A1152" s="306"/>
      <c r="B1152" s="306"/>
      <c r="C1152" s="308"/>
      <c r="D1152" s="45" t="s">
        <v>75</v>
      </c>
      <c r="E1152" s="46">
        <v>0.081</v>
      </c>
      <c r="G1152" s="101" t="str">
        <f>CONCATENATE(D1152," - ",E1152,", ")</f>
        <v> Iron scrap - 0.081, </v>
      </c>
      <c r="H1152" s="1"/>
    </row>
    <row r="1153" spans="1:8" ht="15" customHeight="1">
      <c r="A1153" s="35"/>
      <c r="B1153" s="1"/>
      <c r="C1153" s="1"/>
      <c r="D1153" s="1"/>
      <c r="E1153" s="1"/>
      <c r="H1153" s="1"/>
    </row>
    <row r="1154" spans="1:8" ht="15" customHeight="1">
      <c r="A1154" s="310"/>
      <c r="B1154" s="311"/>
      <c r="C1154" s="66"/>
      <c r="D1154" s="66"/>
      <c r="E1154" s="67">
        <f>SUM(E1156:E1160)</f>
        <v>2.086</v>
      </c>
      <c r="H1154" s="1"/>
    </row>
    <row r="1155" spans="1:18" ht="15" customHeight="1">
      <c r="A1155" s="304" t="s">
        <v>5</v>
      </c>
      <c r="B1155" s="307"/>
      <c r="C1155" s="64" t="s">
        <v>17</v>
      </c>
      <c r="D1155" s="65" t="s">
        <v>18</v>
      </c>
      <c r="E1155" s="64" t="s">
        <v>7</v>
      </c>
      <c r="G1155" s="168" t="str">
        <f>CONCATENATE("Misc. Healthy parts/ Non Ferrous  Scrap, Lying at ",C1156,". Quantity in MT - ")</f>
        <v>Misc. Healthy parts/ Non Ferrous  Scrap, Lying at TRY Bhagta Bhai Ka. Quantity in MT - </v>
      </c>
      <c r="H1155" s="309" t="str">
        <f ca="1">CONCATENATE(G1155,G1156,(INDIRECT(I1156)),(INDIRECT(J1156)),(INDIRECT(K1156)),(INDIRECT(L1156)),(INDIRECT(M1156)),(INDIRECT(N1156)),(INDIRECT(O1156)),(INDIRECT(P1156)),(INDIRECT(Q1156)),(INDIRECT(R1156)),".")</f>
        <v>Misc. Healthy parts/ Non Ferrous  Scrap, Lying at TRY Bhagta Bhai Ka. Quantity in MT - Brass scrap - 1.22, Misc. Aluminium scrap - 0.151, Burnt Cu scrap - 0.037,  Iron scrap - 0.088, Nuts &amp; Bolts scrap - 0.59, .</v>
      </c>
      <c r="I1155" s="98" t="str">
        <f aca="true" ca="1" t="array" ref="I1155">CELL("address",INDEX(G1155:G1179,MATCH(TRUE,ISBLANK(G1155:G1179),0)))</f>
        <v>$G$1161</v>
      </c>
      <c r="J1155" s="98">
        <f aca="true" t="array" ref="J1155">MATCH(TRUE,ISBLANK(G1155:G1179),0)</f>
        <v>7</v>
      </c>
      <c r="K1155" s="98">
        <f>J1155-3</f>
        <v>4</v>
      </c>
      <c r="L1155" s="98"/>
      <c r="M1155" s="98"/>
      <c r="N1155" s="98"/>
      <c r="O1155" s="98"/>
      <c r="P1155" s="98"/>
      <c r="Q1155" s="98"/>
      <c r="R1155" s="98"/>
    </row>
    <row r="1156" spans="1:18" ht="15" customHeight="1">
      <c r="A1156" s="317" t="s">
        <v>233</v>
      </c>
      <c r="B1156" s="318"/>
      <c r="C1156" s="362" t="s">
        <v>132</v>
      </c>
      <c r="D1156" s="40" t="s">
        <v>23</v>
      </c>
      <c r="E1156" s="46">
        <v>1.22</v>
      </c>
      <c r="G1156" s="101" t="str">
        <f>CONCATENATE(D1156," - ",E1156,", ")</f>
        <v>Brass scrap - 1.22, </v>
      </c>
      <c r="H1156" s="309"/>
      <c r="I1156" s="98" t="str">
        <f ca="1">IF(J1155&gt;=3,(MID(I1155,2,1)&amp;MID(I1155,4,4)-K1155),CELL("address",Z1156))</f>
        <v>G1157</v>
      </c>
      <c r="J1156" s="98" t="str">
        <f ca="1">IF(J1155&gt;=4,(MID(I1156,1,1)&amp;MID(I1156,2,4)+1),CELL("address",AA1156))</f>
        <v>G1158</v>
      </c>
      <c r="K1156" s="98" t="str">
        <f ca="1">IF(J1155&gt;=5,(MID(J1156,1,1)&amp;MID(J1156,2,4)+1),CELL("address",AB1156))</f>
        <v>G1159</v>
      </c>
      <c r="L1156" s="98" t="str">
        <f ca="1">IF(J1155&gt;=6,(MID(K1156,1,1)&amp;MID(K1156,2,4)+1),CELL("address",AC1156))</f>
        <v>G1160</v>
      </c>
      <c r="M1156" s="98" t="str">
        <f ca="1">IF(J1155&gt;=7,(MID(L1156,1,1)&amp;MID(L1156,2,4)+1),CELL("address",AD1156))</f>
        <v>G1161</v>
      </c>
      <c r="N1156" s="98" t="str">
        <f ca="1">IF(J1155&gt;=8,(MID(M1156,1,1)&amp;MID(M1156,2,4)+1),CELL("address",AE1156))</f>
        <v>$AE$1156</v>
      </c>
      <c r="O1156" s="98" t="str">
        <f ca="1">IF(J1155&gt;=9,(MID(N1156,1,1)&amp;MID(N1156,2,4)+1),CELL("address",AF1156))</f>
        <v>$AF$1156</v>
      </c>
      <c r="P1156" s="98" t="str">
        <f ca="1">IF(J1155&gt;=10,(MID(O1156,1,1)&amp;MID(O1156,2,4)+1),CELL("address",AG1156))</f>
        <v>$AG$1156</v>
      </c>
      <c r="Q1156" s="98" t="str">
        <f ca="1">IF(J1155&gt;=11,(MID(P1156,1,1)&amp;MID(P1156,2,4)+1),CELL("address",AH1156))</f>
        <v>$AH$1156</v>
      </c>
      <c r="R1156" s="98" t="str">
        <f ca="1">IF(J1155&gt;=12,(MID(Q1156,1,1)&amp;MID(Q1156,2,4)+1),CELL("address",AI1156))</f>
        <v>$AI$1156</v>
      </c>
    </row>
    <row r="1157" spans="1:15" ht="15" customHeight="1">
      <c r="A1157" s="325"/>
      <c r="B1157" s="326"/>
      <c r="C1157" s="363"/>
      <c r="D1157" s="40" t="s">
        <v>24</v>
      </c>
      <c r="E1157" s="46">
        <v>0.151</v>
      </c>
      <c r="F1157" s="98"/>
      <c r="G1157" s="101" t="str">
        <f>CONCATENATE(D1157," - ",E1157,", ")</f>
        <v>Misc. Aluminium scrap - 0.151, </v>
      </c>
      <c r="H1157" s="98"/>
      <c r="I1157" s="98"/>
      <c r="J1157" s="98"/>
      <c r="K1157" s="98"/>
      <c r="L1157" s="98"/>
      <c r="M1157" s="98"/>
      <c r="N1157" s="98"/>
      <c r="O1157" s="98"/>
    </row>
    <row r="1158" spans="1:15" ht="15" customHeight="1">
      <c r="A1158" s="325"/>
      <c r="B1158" s="326"/>
      <c r="C1158" s="363"/>
      <c r="D1158" s="40" t="s">
        <v>37</v>
      </c>
      <c r="E1158" s="46">
        <v>0.037</v>
      </c>
      <c r="F1158" s="98"/>
      <c r="G1158" s="101" t="str">
        <f>CONCATENATE(D1158," - ",E1158,", ")</f>
        <v>Burnt Cu scrap - 0.037, </v>
      </c>
      <c r="H1158" s="98"/>
      <c r="I1158" s="98" t="e">
        <f ca="1">IF(G1157&gt;=6,(MID(H1158,1,1)&amp;MID(H1158,2,4)+1),CELL("address",Z1158))</f>
        <v>#VALUE!</v>
      </c>
      <c r="J1158" s="98" t="e">
        <f ca="1">IF(G1157&gt;=7,(MID(I1158,1,1)&amp;MID(I1158,2,4)+1),CELL("address",AA1158))</f>
        <v>#VALUE!</v>
      </c>
      <c r="K1158" s="98" t="e">
        <f ca="1">IF(G1157&gt;=8,(MID(J1158,1,1)&amp;MID(J1158,2,4)+1),CELL("address",AB1158))</f>
        <v>#VALUE!</v>
      </c>
      <c r="L1158" s="98" t="e">
        <f ca="1">IF(G1157&gt;=9,(MID(K1158,1,1)&amp;MID(K1158,2,4)+1),CELL("address",AC1158))</f>
        <v>#VALUE!</v>
      </c>
      <c r="M1158" s="98" t="e">
        <f ca="1">IF(G1157&gt;=10,(MID(L1158,1,1)&amp;MID(L1158,2,4)+1),CELL("address",AD1158))</f>
        <v>#VALUE!</v>
      </c>
      <c r="N1158" s="98" t="e">
        <f ca="1">IF(G1157&gt;=11,(MID(M1158,1,1)&amp;MID(M1158,2,4)+1),CELL("address",AE1158))</f>
        <v>#VALUE!</v>
      </c>
      <c r="O1158" s="98" t="e">
        <f ca="1">IF(G1157&gt;=12,(MID(N1158,1,1)&amp;MID(N1158,2,4)+1),CELL("address",AF1158))</f>
        <v>#VALUE!</v>
      </c>
    </row>
    <row r="1159" spans="1:8" ht="15" customHeight="1">
      <c r="A1159" s="325"/>
      <c r="B1159" s="326"/>
      <c r="C1159" s="363"/>
      <c r="D1159" s="45" t="s">
        <v>75</v>
      </c>
      <c r="E1159" s="46">
        <v>0.088</v>
      </c>
      <c r="G1159" s="101" t="str">
        <f>CONCATENATE(D1159," - ",E1159,", ")</f>
        <v> Iron scrap - 0.088, </v>
      </c>
      <c r="H1159" s="1"/>
    </row>
    <row r="1160" spans="1:8" ht="15" customHeight="1">
      <c r="A1160" s="327"/>
      <c r="B1160" s="328"/>
      <c r="C1160" s="364"/>
      <c r="D1160" s="40" t="s">
        <v>58</v>
      </c>
      <c r="E1160" s="46">
        <v>0.59</v>
      </c>
      <c r="G1160" s="101" t="str">
        <f>CONCATENATE(D1160," - ",E1160,", ")</f>
        <v>Nuts &amp; Bolts scrap - 0.59, </v>
      </c>
      <c r="H1160" s="1"/>
    </row>
    <row r="1161" spans="1:15" ht="15" customHeight="1">
      <c r="A1161" s="51"/>
      <c r="B1161" s="54"/>
      <c r="C1161" s="19"/>
      <c r="D1161" s="54"/>
      <c r="E1161" s="96"/>
      <c r="F1161" s="98"/>
      <c r="G1161" s="98"/>
      <c r="H1161" s="98"/>
      <c r="I1161" s="98"/>
      <c r="J1161" s="98"/>
      <c r="K1161" s="98"/>
      <c r="L1161" s="98"/>
      <c r="M1161" s="98"/>
      <c r="N1161" s="98"/>
      <c r="O1161" s="98"/>
    </row>
    <row r="1162" spans="1:15" ht="15" customHeight="1">
      <c r="A1162" s="310"/>
      <c r="B1162" s="311"/>
      <c r="C1162" s="66"/>
      <c r="D1162" s="66"/>
      <c r="E1162" s="118">
        <f>SUM(E1164:E1164)</f>
        <v>0.029</v>
      </c>
      <c r="F1162" s="98"/>
      <c r="G1162" s="98"/>
      <c r="H1162" s="98"/>
      <c r="I1162" s="98" t="str">
        <f ca="1">IF(G1161&gt;=6,(MID(H1162,1,1)&amp;MID(H1162,2,4)+1),CELL("address",Z1162))</f>
        <v>$Z$1162</v>
      </c>
      <c r="J1162" s="98" t="str">
        <f ca="1">IF(G1161&gt;=7,(MID(I1162,1,1)&amp;MID(I1162,2,4)+1),CELL("address",AA1162))</f>
        <v>$AA$1162</v>
      </c>
      <c r="K1162" s="98" t="str">
        <f ca="1">IF(G1161&gt;=8,(MID(J1162,1,1)&amp;MID(J1162,2,4)+1),CELL("address",AB1162))</f>
        <v>$AB$1162</v>
      </c>
      <c r="L1162" s="98" t="str">
        <f ca="1">IF(G1161&gt;=9,(MID(K1162,1,1)&amp;MID(K1162,2,4)+1),CELL("address",AC1162))</f>
        <v>$AC$1162</v>
      </c>
      <c r="M1162" s="98" t="str">
        <f ca="1">IF(G1161&gt;=10,(MID(L1162,1,1)&amp;MID(L1162,2,4)+1),CELL("address",AD1162))</f>
        <v>$AD$1162</v>
      </c>
      <c r="N1162" s="98" t="str">
        <f ca="1">IF(G1161&gt;=11,(MID(M1162,1,1)&amp;MID(M1162,2,4)+1),CELL("address",AE1162))</f>
        <v>$AE$1162</v>
      </c>
      <c r="O1162" s="98" t="str">
        <f ca="1">IF(G1161&gt;=12,(MID(N1162,1,1)&amp;MID(N1162,2,4)+1),CELL("address",AF1162))</f>
        <v>$AF$1162</v>
      </c>
    </row>
    <row r="1163" spans="1:18" ht="15" customHeight="1">
      <c r="A1163" s="306" t="s">
        <v>5</v>
      </c>
      <c r="B1163" s="306"/>
      <c r="C1163" s="64" t="s">
        <v>17</v>
      </c>
      <c r="D1163" s="65" t="s">
        <v>18</v>
      </c>
      <c r="E1163" s="68" t="s">
        <v>7</v>
      </c>
      <c r="G1163" s="168" t="str">
        <f>CONCATENATE("Misc. Healthy parts/ Non Ferrous  Scrap, Lying at ",C1164,". Quantity in MT - ")</f>
        <v>Misc. Healthy parts/ Non Ferrous  Scrap, Lying at OL Barnala. Quantity in MT - </v>
      </c>
      <c r="H1163" s="309" t="str">
        <f ca="1">CONCATENATE(G1163,G1164,(INDIRECT(I1164)),(INDIRECT(J1164)),(INDIRECT(K1164)),(INDIRECT(L1164)),(INDIRECT(M1164)),(INDIRECT(N1164)),(INDIRECT(O1164)),(INDIRECT(P1164)),(INDIRECT(Q1164)),(INDIRECT(R1164)),".")</f>
        <v>Misc. Healthy parts/ Non Ferrous  Scrap, Lying at OL Barnala. Quantity in MT - Misc. copper scrap - 0.029, .</v>
      </c>
      <c r="I1163" s="98" t="str">
        <f aca="true" ca="1" t="array" ref="I1163">CELL("address",INDEX(G1163:G1185,MATCH(TRUE,ISBLANK(G1163:G1185),0)))</f>
        <v>$G$1165</v>
      </c>
      <c r="J1163" s="98">
        <f aca="true" t="array" ref="J1163">MATCH(TRUE,ISBLANK(G1163:G1185),0)</f>
        <v>3</v>
      </c>
      <c r="K1163" s="98">
        <f>J1163-3</f>
        <v>0</v>
      </c>
      <c r="L1163" s="98"/>
      <c r="M1163" s="98"/>
      <c r="N1163" s="98"/>
      <c r="O1163" s="98"/>
      <c r="P1163" s="98"/>
      <c r="Q1163" s="98"/>
      <c r="R1163" s="98"/>
    </row>
    <row r="1164" spans="1:18" ht="15" customHeight="1">
      <c r="A1164" s="306" t="s">
        <v>193</v>
      </c>
      <c r="B1164" s="306"/>
      <c r="C1164" s="254" t="s">
        <v>189</v>
      </c>
      <c r="D1164" s="60" t="s">
        <v>111</v>
      </c>
      <c r="E1164" s="69">
        <v>0.029</v>
      </c>
      <c r="G1164" s="101" t="str">
        <f>CONCATENATE(D1164," - ",E1164,", ")</f>
        <v>Misc. copper scrap - 0.029, </v>
      </c>
      <c r="H1164" s="309"/>
      <c r="I1164" s="98" t="str">
        <f ca="1">IF(J1163&gt;=3,(MID(I1163,2,1)&amp;MID(I1163,4,4)-K1163),CELL("address",Z1164))</f>
        <v>G1165</v>
      </c>
      <c r="J1164" s="98" t="str">
        <f ca="1">IF(J1163&gt;=4,(MID(I1164,1,1)&amp;MID(I1164,2,4)+1),CELL("address",AA1164))</f>
        <v>$AA$1164</v>
      </c>
      <c r="K1164" s="98" t="str">
        <f ca="1">IF(J1163&gt;=5,(MID(J1164,1,1)&amp;MID(J1164,2,4)+1),CELL("address",AB1164))</f>
        <v>$AB$1164</v>
      </c>
      <c r="L1164" s="98" t="str">
        <f ca="1">IF(J1163&gt;=6,(MID(K1164,1,1)&amp;MID(K1164,2,4)+1),CELL("address",AC1164))</f>
        <v>$AC$1164</v>
      </c>
      <c r="M1164" s="98" t="str">
        <f ca="1">IF(J1163&gt;=7,(MID(L1164,1,1)&amp;MID(L1164,2,4)+1),CELL("address",AD1164))</f>
        <v>$AD$1164</v>
      </c>
      <c r="N1164" s="98" t="str">
        <f ca="1">IF(J1163&gt;=8,(MID(M1164,1,1)&amp;MID(M1164,2,4)+1),CELL("address",AE1164))</f>
        <v>$AE$1164</v>
      </c>
      <c r="O1164" s="98" t="str">
        <f ca="1">IF(J1163&gt;=9,(MID(N1164,1,1)&amp;MID(N1164,2,4)+1),CELL("address",AF1164))</f>
        <v>$AF$1164</v>
      </c>
      <c r="P1164" s="98" t="str">
        <f ca="1">IF(J1163&gt;=10,(MID(O1164,1,1)&amp;MID(O1164,2,4)+1),CELL("address",AG1164))</f>
        <v>$AG$1164</v>
      </c>
      <c r="Q1164" s="98" t="str">
        <f ca="1">IF(J1163&gt;=11,(MID(P1164,1,1)&amp;MID(P1164,2,4)+1),CELL("address",AH1164))</f>
        <v>$AH$1164</v>
      </c>
      <c r="R1164" s="98" t="str">
        <f ca="1">IF(J1163&gt;=12,(MID(Q1164,1,1)&amp;MID(Q1164,2,4)+1),CELL("address",AI1164))</f>
        <v>$AI$1164</v>
      </c>
    </row>
    <row r="1165" spans="1:8" ht="15" customHeight="1">
      <c r="A1165" s="35"/>
      <c r="B1165" s="1"/>
      <c r="C1165" s="1"/>
      <c r="D1165" s="1"/>
      <c r="E1165" s="1"/>
      <c r="H1165" s="1"/>
    </row>
    <row r="1166" spans="1:8" ht="15" customHeight="1">
      <c r="A1166" s="310"/>
      <c r="B1166" s="311"/>
      <c r="C1166" s="66"/>
      <c r="D1166" s="66"/>
      <c r="E1166" s="118">
        <f>SUM(E1168:E1172)</f>
        <v>3.0719999999999996</v>
      </c>
      <c r="H1166" s="1"/>
    </row>
    <row r="1167" spans="1:18" ht="15" customHeight="1">
      <c r="A1167" s="306" t="s">
        <v>5</v>
      </c>
      <c r="B1167" s="306"/>
      <c r="C1167" s="64" t="s">
        <v>17</v>
      </c>
      <c r="D1167" s="65" t="s">
        <v>18</v>
      </c>
      <c r="E1167" s="68" t="s">
        <v>7</v>
      </c>
      <c r="F1167" s="98"/>
      <c r="G1167" s="168" t="str">
        <f>CONCATENATE("Misc. Healthy parts/ Non Ferrous  Scrap, Lying at ",C1168,". Quantity in MT - ")</f>
        <v>Misc. Healthy parts/ Non Ferrous  Scrap, Lying at TRY Moga. Quantity in MT - </v>
      </c>
      <c r="H1167" s="309" t="str">
        <f ca="1">CONCATENATE(G1167,G1168,(INDIRECT(I1168)),(INDIRECT(J1168)),(INDIRECT(K1168)),(INDIRECT(L1168)),(INDIRECT(M1168)),(INDIRECT(N1168)),(INDIRECT(O1168)),(INDIRECT(P1168)),(INDIRECT(Q1168)),(INDIRECT(R1168)),".")</f>
        <v>Misc. Healthy parts/ Non Ferrous  Scrap, Lying at TRY Moga. Quantity in MT - Brass scrap - 1.769, Misc. Alumn. Scrap - 0.301, Iron scrap - 0.125, Burnt Cu scrap - 0.062, Nuts &amp; Bolts scrap - 0.815, .</v>
      </c>
      <c r="I1167" s="98" t="str">
        <f aca="true" ca="1" t="array" ref="I1167">CELL("address",INDEX(G1167:G1185,MATCH(TRUE,ISBLANK(G1167:G1185),0)))</f>
        <v>$G$1173</v>
      </c>
      <c r="J1167" s="98">
        <f aca="true" t="array" ref="J1167">MATCH(TRUE,ISBLANK(G1167:G1185),0)</f>
        <v>7</v>
      </c>
      <c r="K1167" s="98">
        <f>J1167-3</f>
        <v>4</v>
      </c>
      <c r="L1167" s="98"/>
      <c r="M1167" s="98"/>
      <c r="N1167" s="98"/>
      <c r="O1167" s="98"/>
      <c r="P1167" s="98"/>
      <c r="Q1167" s="98"/>
      <c r="R1167" s="98"/>
    </row>
    <row r="1168" spans="1:18" ht="15" customHeight="1">
      <c r="A1168" s="306" t="s">
        <v>194</v>
      </c>
      <c r="B1168" s="306"/>
      <c r="C1168" s="308" t="s">
        <v>221</v>
      </c>
      <c r="D1168" s="45" t="s">
        <v>23</v>
      </c>
      <c r="E1168" s="119">
        <v>1.769</v>
      </c>
      <c r="F1168" s="98"/>
      <c r="G1168" s="101" t="str">
        <f>CONCATENATE(D1168," - ",E1168,", ")</f>
        <v>Brass scrap - 1.769, </v>
      </c>
      <c r="H1168" s="309"/>
      <c r="I1168" s="98" t="str">
        <f ca="1">IF(J1167&gt;=3,(MID(I1167,2,1)&amp;MID(I1167,4,4)-K1167),CELL("address",Z1168))</f>
        <v>G1169</v>
      </c>
      <c r="J1168" s="98" t="str">
        <f ca="1">IF(J1167&gt;=4,(MID(I1168,1,1)&amp;MID(I1168,2,4)+1),CELL("address",AA1168))</f>
        <v>G1170</v>
      </c>
      <c r="K1168" s="98" t="str">
        <f ca="1">IF(J1167&gt;=5,(MID(J1168,1,1)&amp;MID(J1168,2,4)+1),CELL("address",AB1168))</f>
        <v>G1171</v>
      </c>
      <c r="L1168" s="98" t="str">
        <f ca="1">IF(J1167&gt;=6,(MID(K1168,1,1)&amp;MID(K1168,2,4)+1),CELL("address",AC1168))</f>
        <v>G1172</v>
      </c>
      <c r="M1168" s="98" t="str">
        <f ca="1">IF(J1167&gt;=7,(MID(L1168,1,1)&amp;MID(L1168,2,4)+1),CELL("address",AD1168))</f>
        <v>G1173</v>
      </c>
      <c r="N1168" s="98" t="str">
        <f ca="1">IF(J1167&gt;=8,(MID(M1168,1,1)&amp;MID(M1168,2,4)+1),CELL("address",AE1168))</f>
        <v>$AE$1168</v>
      </c>
      <c r="O1168" s="98" t="str">
        <f ca="1">IF(J1167&gt;=9,(MID(N1168,1,1)&amp;MID(N1168,2,4)+1),CELL("address",AF1168))</f>
        <v>$AF$1168</v>
      </c>
      <c r="P1168" s="98" t="str">
        <f ca="1">IF(J1167&gt;=10,(MID(O1168,1,1)&amp;MID(O1168,2,4)+1),CELL("address",AG1168))</f>
        <v>$AG$1168</v>
      </c>
      <c r="Q1168" s="98" t="str">
        <f ca="1">IF(J1167&gt;=11,(MID(P1168,1,1)&amp;MID(P1168,2,4)+1),CELL("address",AH1168))</f>
        <v>$AH$1168</v>
      </c>
      <c r="R1168" s="98" t="str">
        <f ca="1">IF(J1167&gt;=12,(MID(Q1168,1,1)&amp;MID(Q1168,2,4)+1),CELL("address",AI1168))</f>
        <v>$AI$1168</v>
      </c>
    </row>
    <row r="1169" spans="1:15" ht="15" customHeight="1">
      <c r="A1169" s="306"/>
      <c r="B1169" s="306"/>
      <c r="C1169" s="308"/>
      <c r="D1169" s="45" t="s">
        <v>31</v>
      </c>
      <c r="E1169" s="68">
        <v>0.301</v>
      </c>
      <c r="F1169" s="98"/>
      <c r="G1169" s="101" t="str">
        <f>CONCATENATE(D1169," - ",E1169,", ")</f>
        <v>Misc. Alumn. Scrap - 0.301, </v>
      </c>
      <c r="H1169" s="98"/>
      <c r="I1169" s="98"/>
      <c r="J1169" s="98"/>
      <c r="K1169" s="98"/>
      <c r="L1169" s="98"/>
      <c r="M1169" s="98"/>
      <c r="N1169" s="98"/>
      <c r="O1169" s="98"/>
    </row>
    <row r="1170" spans="1:8" ht="15" customHeight="1">
      <c r="A1170" s="306"/>
      <c r="B1170" s="306"/>
      <c r="C1170" s="308"/>
      <c r="D1170" s="40" t="s">
        <v>27</v>
      </c>
      <c r="E1170" s="68">
        <v>0.125</v>
      </c>
      <c r="G1170" s="101" t="str">
        <f>CONCATENATE(D1170," - ",E1170,", ")</f>
        <v>Iron scrap - 0.125, </v>
      </c>
      <c r="H1170" s="1"/>
    </row>
    <row r="1171" spans="1:8" ht="15" customHeight="1">
      <c r="A1171" s="306"/>
      <c r="B1171" s="306"/>
      <c r="C1171" s="308"/>
      <c r="D1171" s="40" t="s">
        <v>37</v>
      </c>
      <c r="E1171" s="64">
        <v>0.062</v>
      </c>
      <c r="G1171" s="101" t="str">
        <f>CONCATENATE(D1171," - ",E1171,", ")</f>
        <v>Burnt Cu scrap - 0.062, </v>
      </c>
      <c r="H1171" s="1"/>
    </row>
    <row r="1172" spans="1:8" ht="15" customHeight="1">
      <c r="A1172" s="306"/>
      <c r="B1172" s="306"/>
      <c r="C1172" s="308"/>
      <c r="D1172" s="40" t="s">
        <v>58</v>
      </c>
      <c r="E1172" s="64">
        <v>0.815</v>
      </c>
      <c r="G1172" s="200" t="str">
        <f>CONCATENATE(D1172," - ",E1172,", ")</f>
        <v>Nuts &amp; Bolts scrap - 0.815, </v>
      </c>
      <c r="H1172" s="1"/>
    </row>
    <row r="1173" spans="1:8" ht="15" customHeight="1">
      <c r="A1173" s="35"/>
      <c r="B1173" s="1"/>
      <c r="C1173" s="1"/>
      <c r="D1173" s="1"/>
      <c r="E1173" s="1"/>
      <c r="H1173" s="1"/>
    </row>
    <row r="1174" spans="1:15" ht="15" customHeight="1">
      <c r="A1174" s="310"/>
      <c r="B1174" s="311"/>
      <c r="C1174" s="66"/>
      <c r="D1174" s="66"/>
      <c r="E1174" s="118">
        <f>SUM(E1176:E1177)</f>
        <v>0.346</v>
      </c>
      <c r="F1174" s="98"/>
      <c r="G1174" s="98"/>
      <c r="H1174" s="98"/>
      <c r="I1174" s="98"/>
      <c r="J1174" s="98"/>
      <c r="K1174" s="98"/>
      <c r="L1174" s="98"/>
      <c r="M1174" s="98"/>
      <c r="N1174" s="98"/>
      <c r="O1174" s="98"/>
    </row>
    <row r="1175" spans="1:18" ht="15" customHeight="1">
      <c r="A1175" s="306" t="s">
        <v>5</v>
      </c>
      <c r="B1175" s="306"/>
      <c r="C1175" s="64" t="s">
        <v>17</v>
      </c>
      <c r="D1175" s="65" t="s">
        <v>18</v>
      </c>
      <c r="E1175" s="68" t="s">
        <v>7</v>
      </c>
      <c r="F1175" s="98"/>
      <c r="G1175" s="168" t="str">
        <f>CONCATENATE("Misc. Healthy parts/ Non Ferrous  Scrap, Lying at ",C1176,". Quantity in MT - ")</f>
        <v>Misc. Healthy parts/ Non Ferrous  Scrap, Lying at CS Ferozepur. Quantity in MT - </v>
      </c>
      <c r="H1175" s="309" t="str">
        <f ca="1">CONCATENATE(G1175,G1176,(INDIRECT(I1176)),(INDIRECT(J1176)),(INDIRECT(K1176)),(INDIRECT(L1176)),(INDIRECT(M1176)),(INDIRECT(N1176)),(INDIRECT(O1176)),(INDIRECT(P1176)),(INDIRECT(Q1176)),(INDIRECT(R1176)),".")</f>
        <v>Misc. Healthy parts/ Non Ferrous  Scrap, Lying at CS Ferozepur. Quantity in MT - Misc. copper scrap - 0.174, All Alumn. Conductor Scrap - 0.172, .</v>
      </c>
      <c r="I1175" s="98" t="str">
        <f aca="true" ca="1" t="array" ref="I1175">CELL("address",INDEX(G1175:G1189,MATCH(TRUE,ISBLANK(G1175:G1189),0)))</f>
        <v>$G$1178</v>
      </c>
      <c r="J1175" s="98">
        <f aca="true" t="array" ref="J1175">MATCH(TRUE,ISBLANK(G1175:G1189),0)</f>
        <v>4</v>
      </c>
      <c r="K1175" s="98">
        <f>J1175-3</f>
        <v>1</v>
      </c>
      <c r="L1175" s="98"/>
      <c r="M1175" s="98"/>
      <c r="N1175" s="98"/>
      <c r="O1175" s="98"/>
      <c r="P1175" s="98"/>
      <c r="Q1175" s="98"/>
      <c r="R1175" s="98"/>
    </row>
    <row r="1176" spans="1:18" ht="15" customHeight="1">
      <c r="A1176" s="306" t="s">
        <v>234</v>
      </c>
      <c r="B1176" s="306"/>
      <c r="C1176" s="308" t="s">
        <v>99</v>
      </c>
      <c r="D1176" s="60" t="s">
        <v>111</v>
      </c>
      <c r="E1176" s="69">
        <v>0.174</v>
      </c>
      <c r="G1176" s="101" t="str">
        <f>CONCATENATE(D1176," - ",E1176,", ")</f>
        <v>Misc. copper scrap - 0.174, </v>
      </c>
      <c r="H1176" s="309"/>
      <c r="I1176" s="98" t="str">
        <f ca="1">IF(J1175&gt;=3,(MID(I1175,2,1)&amp;MID(I1175,4,4)-K1175),CELL("address",Z1176))</f>
        <v>G1177</v>
      </c>
      <c r="J1176" s="98" t="str">
        <f ca="1">IF(J1175&gt;=4,(MID(I1176,1,1)&amp;MID(I1176,2,4)+1),CELL("address",AA1176))</f>
        <v>G1178</v>
      </c>
      <c r="K1176" s="98" t="str">
        <f ca="1">IF(J1175&gt;=5,(MID(J1176,1,1)&amp;MID(J1176,2,4)+1),CELL("address",AB1176))</f>
        <v>$AB$1176</v>
      </c>
      <c r="L1176" s="98" t="str">
        <f ca="1">IF(J1175&gt;=6,(MID(K1176,1,1)&amp;MID(K1176,2,4)+1),CELL("address",AC1176))</f>
        <v>$AC$1176</v>
      </c>
      <c r="M1176" s="98" t="str">
        <f ca="1">IF(J1175&gt;=7,(MID(L1176,1,1)&amp;MID(L1176,2,4)+1),CELL("address",AD1176))</f>
        <v>$AD$1176</v>
      </c>
      <c r="N1176" s="98" t="str">
        <f ca="1">IF(J1175&gt;=8,(MID(M1176,1,1)&amp;MID(M1176,2,4)+1),CELL("address",AE1176))</f>
        <v>$AE$1176</v>
      </c>
      <c r="O1176" s="98" t="str">
        <f ca="1">IF(J1175&gt;=9,(MID(N1176,1,1)&amp;MID(N1176,2,4)+1),CELL("address",AF1176))</f>
        <v>$AF$1176</v>
      </c>
      <c r="P1176" s="98" t="str">
        <f ca="1">IF(J1175&gt;=10,(MID(O1176,1,1)&amp;MID(O1176,2,4)+1),CELL("address",AG1176))</f>
        <v>$AG$1176</v>
      </c>
      <c r="Q1176" s="98" t="str">
        <f ca="1">IF(J1175&gt;=11,(MID(P1176,1,1)&amp;MID(P1176,2,4)+1),CELL("address",AH1176))</f>
        <v>$AH$1176</v>
      </c>
      <c r="R1176" s="98" t="str">
        <f ca="1">IF(J1175&gt;=12,(MID(Q1176,1,1)&amp;MID(Q1176,2,4)+1),CELL("address",AI1176))</f>
        <v>$AI$1176</v>
      </c>
    </row>
    <row r="1177" spans="1:8" ht="15" customHeight="1">
      <c r="A1177" s="306"/>
      <c r="B1177" s="306"/>
      <c r="C1177" s="308"/>
      <c r="D1177" s="45" t="s">
        <v>32</v>
      </c>
      <c r="E1177" s="46">
        <v>0.172</v>
      </c>
      <c r="G1177" s="101" t="str">
        <f>CONCATENATE(D1177," - ",E1177,", ")</f>
        <v>All Alumn. Conductor Scrap - 0.172, </v>
      </c>
      <c r="H1177" s="1"/>
    </row>
    <row r="1178" spans="1:8" ht="15" customHeight="1">
      <c r="A1178" s="35"/>
      <c r="B1178" s="1"/>
      <c r="C1178" s="1"/>
      <c r="D1178" s="1"/>
      <c r="E1178" s="1"/>
      <c r="H1178" s="1"/>
    </row>
    <row r="1179" spans="1:8" ht="15" customHeight="1">
      <c r="A1179" s="310"/>
      <c r="B1179" s="311"/>
      <c r="C1179" s="66"/>
      <c r="D1179" s="66"/>
      <c r="E1179" s="118">
        <f>SUM(E1181:E1184)</f>
        <v>0.36700000000000005</v>
      </c>
      <c r="H1179" s="1"/>
    </row>
    <row r="1180" spans="1:18" ht="15" customHeight="1">
      <c r="A1180" s="306" t="s">
        <v>5</v>
      </c>
      <c r="B1180" s="306"/>
      <c r="C1180" s="64" t="s">
        <v>17</v>
      </c>
      <c r="D1180" s="65" t="s">
        <v>18</v>
      </c>
      <c r="E1180" s="68" t="s">
        <v>7</v>
      </c>
      <c r="G1180" s="168" t="str">
        <f>CONCATENATE("Misc. Healthy parts/ Non Ferrous  Scrap, Lying at ",C1181,". Quantity in MT - ")</f>
        <v>Misc. Healthy parts/ Non Ferrous  Scrap, Lying at TRY Barnala. Quantity in MT - </v>
      </c>
      <c r="H1180" s="309" t="str">
        <f ca="1">CONCATENATE(G1180,G1181,(INDIRECT(I1181)),(INDIRECT(J1181)),(INDIRECT(K1181)),(INDIRECT(L1181)),(INDIRECT(M1181)),(INDIRECT(N1181)),(INDIRECT(O1181)),(INDIRECT(P1181)),(INDIRECT(Q1181)),(INDIRECT(R1181)),".")</f>
        <v>Misc. Healthy parts/ Non Ferrous  Scrap, Lying at TRY Barnala. Quantity in MT - Brass scrap - 0.276, Misc. Alumn. Scrap - 0.011, Iron scrap - 0.066, Burnt Cu scrap - 0.014, .</v>
      </c>
      <c r="I1180" s="98" t="str">
        <f aca="true" ca="1" t="array" ref="I1180">CELL("address",INDEX(G1180:G1194,MATCH(TRUE,ISBLANK(G1180:G1194),0)))</f>
        <v>$G$1185</v>
      </c>
      <c r="J1180" s="98">
        <f aca="true" t="array" ref="J1180">MATCH(TRUE,ISBLANK(G1180:G1194),0)</f>
        <v>6</v>
      </c>
      <c r="K1180" s="98">
        <f>J1180-3</f>
        <v>3</v>
      </c>
      <c r="L1180" s="98"/>
      <c r="M1180" s="98"/>
      <c r="N1180" s="98"/>
      <c r="O1180" s="98"/>
      <c r="P1180" s="98"/>
      <c r="Q1180" s="98"/>
      <c r="R1180" s="98"/>
    </row>
    <row r="1181" spans="1:18" ht="13.5" customHeight="1">
      <c r="A1181" s="306" t="s">
        <v>247</v>
      </c>
      <c r="B1181" s="306"/>
      <c r="C1181" s="308" t="s">
        <v>314</v>
      </c>
      <c r="D1181" s="45" t="s">
        <v>23</v>
      </c>
      <c r="E1181" s="119">
        <v>0.276</v>
      </c>
      <c r="F1181" s="98"/>
      <c r="G1181" s="101" t="str">
        <f>CONCATENATE(D1181," - ",E1181,", ")</f>
        <v>Brass scrap - 0.276, </v>
      </c>
      <c r="H1181" s="309"/>
      <c r="I1181" s="98" t="str">
        <f ca="1">IF(J1180&gt;=3,(MID(I1180,2,1)&amp;MID(I1180,4,4)-K1180),CELL("address",Z1181))</f>
        <v>G1182</v>
      </c>
      <c r="J1181" s="98" t="str">
        <f ca="1">IF(J1180&gt;=4,(MID(I1181,1,1)&amp;MID(I1181,2,4)+1),CELL("address",AA1181))</f>
        <v>G1183</v>
      </c>
      <c r="K1181" s="98" t="str">
        <f ca="1">IF(J1180&gt;=5,(MID(J1181,1,1)&amp;MID(J1181,2,4)+1),CELL("address",AB1181))</f>
        <v>G1184</v>
      </c>
      <c r="L1181" s="98" t="str">
        <f ca="1">IF(J1180&gt;=6,(MID(K1181,1,1)&amp;MID(K1181,2,4)+1),CELL("address",AC1181))</f>
        <v>G1185</v>
      </c>
      <c r="M1181" s="98" t="str">
        <f ca="1">IF(J1180&gt;=7,(MID(L1181,1,1)&amp;MID(L1181,2,4)+1),CELL("address",AD1181))</f>
        <v>$AD$1181</v>
      </c>
      <c r="N1181" s="98" t="str">
        <f ca="1">IF(J1180&gt;=8,(MID(M1181,1,1)&amp;MID(M1181,2,4)+1),CELL("address",AE1181))</f>
        <v>$AE$1181</v>
      </c>
      <c r="O1181" s="98" t="str">
        <f ca="1">IF(J1180&gt;=9,(MID(N1181,1,1)&amp;MID(N1181,2,4)+1),CELL("address",AF1181))</f>
        <v>$AF$1181</v>
      </c>
      <c r="P1181" s="98" t="str">
        <f ca="1">IF(J1180&gt;=10,(MID(O1181,1,1)&amp;MID(O1181,2,4)+1),CELL("address",AG1181))</f>
        <v>$AG$1181</v>
      </c>
      <c r="Q1181" s="98" t="str">
        <f ca="1">IF(J1180&gt;=11,(MID(P1181,1,1)&amp;MID(P1181,2,4)+1),CELL("address",AH1181))</f>
        <v>$AH$1181</v>
      </c>
      <c r="R1181" s="98" t="str">
        <f ca="1">IF(J1180&gt;=12,(MID(Q1181,1,1)&amp;MID(Q1181,2,4)+1),CELL("address",AI1181))</f>
        <v>$AI$1181</v>
      </c>
    </row>
    <row r="1182" spans="1:15" ht="15" customHeight="1">
      <c r="A1182" s="306"/>
      <c r="B1182" s="306"/>
      <c r="C1182" s="308"/>
      <c r="D1182" s="45" t="s">
        <v>31</v>
      </c>
      <c r="E1182" s="68">
        <v>0.011</v>
      </c>
      <c r="F1182" s="98"/>
      <c r="G1182" s="101" t="str">
        <f>CONCATENATE(D1182," - ",E1182,", ")</f>
        <v>Misc. Alumn. Scrap - 0.011, </v>
      </c>
      <c r="H1182" s="98"/>
      <c r="I1182" s="98" t="e">
        <f ca="1">IF(G1181&gt;=6,(MID(H1182,1,1)&amp;MID(H1182,2,4)+1),CELL("address",Z1182))</f>
        <v>#VALUE!</v>
      </c>
      <c r="J1182" s="98" t="e">
        <f ca="1">IF(G1181&gt;=7,(MID(I1182,1,1)&amp;MID(I1182,2,4)+1),CELL("address",AA1182))</f>
        <v>#VALUE!</v>
      </c>
      <c r="K1182" s="98" t="e">
        <f ca="1">IF(G1181&gt;=8,(MID(J1182,1,1)&amp;MID(J1182,2,4)+1),CELL("address",AB1182))</f>
        <v>#VALUE!</v>
      </c>
      <c r="L1182" s="98" t="e">
        <f ca="1">IF(G1181&gt;=9,(MID(K1182,1,1)&amp;MID(K1182,2,4)+1),CELL("address",AC1182))</f>
        <v>#VALUE!</v>
      </c>
      <c r="M1182" s="98" t="e">
        <f ca="1">IF(G1181&gt;=10,(MID(L1182,1,1)&amp;MID(L1182,2,4)+1),CELL("address",AD1182))</f>
        <v>#VALUE!</v>
      </c>
      <c r="N1182" s="98" t="e">
        <f ca="1">IF(G1181&gt;=11,(MID(M1182,1,1)&amp;MID(M1182,2,4)+1),CELL("address",AE1182))</f>
        <v>#VALUE!</v>
      </c>
      <c r="O1182" s="98" t="e">
        <f ca="1">IF(G1181&gt;=12,(MID(N1182,1,1)&amp;MID(N1182,2,4)+1),CELL("address",AF1182))</f>
        <v>#VALUE!</v>
      </c>
    </row>
    <row r="1183" spans="1:8" ht="15" customHeight="1">
      <c r="A1183" s="306"/>
      <c r="B1183" s="306"/>
      <c r="C1183" s="308"/>
      <c r="D1183" s="40" t="s">
        <v>27</v>
      </c>
      <c r="E1183" s="68">
        <v>0.066</v>
      </c>
      <c r="G1183" s="101" t="str">
        <f>CONCATENATE(D1183," - ",E1183,", ")</f>
        <v>Iron scrap - 0.066, </v>
      </c>
      <c r="H1183" s="1"/>
    </row>
    <row r="1184" spans="1:8" ht="15" customHeight="1">
      <c r="A1184" s="306"/>
      <c r="B1184" s="306"/>
      <c r="C1184" s="308"/>
      <c r="D1184" s="40" t="s">
        <v>37</v>
      </c>
      <c r="E1184" s="261">
        <v>0.014</v>
      </c>
      <c r="G1184" s="101" t="str">
        <f>CONCATENATE(D1184," - ",E1184,", ")</f>
        <v>Burnt Cu scrap - 0.014, </v>
      </c>
      <c r="H1184" s="1"/>
    </row>
    <row r="1185" spans="1:8" ht="15" customHeight="1">
      <c r="A1185" s="35"/>
      <c r="B1185" s="1"/>
      <c r="C1185" s="1"/>
      <c r="D1185" s="1"/>
      <c r="E1185" s="1"/>
      <c r="H1185" s="1"/>
    </row>
    <row r="1186" spans="1:8" ht="14.25" customHeight="1">
      <c r="A1186" s="310"/>
      <c r="B1186" s="311"/>
      <c r="C1186" s="66"/>
      <c r="D1186" s="66"/>
      <c r="E1186" s="118">
        <f>SUM(E1188:E1189)</f>
        <v>0.649</v>
      </c>
      <c r="H1186" s="1"/>
    </row>
    <row r="1187" spans="1:18" ht="18.75" customHeight="1">
      <c r="A1187" s="306" t="s">
        <v>5</v>
      </c>
      <c r="B1187" s="306"/>
      <c r="C1187" s="64" t="s">
        <v>17</v>
      </c>
      <c r="D1187" s="65" t="s">
        <v>18</v>
      </c>
      <c r="E1187" s="68" t="s">
        <v>7</v>
      </c>
      <c r="G1187" s="168" t="str">
        <f>CONCATENATE("Misc. Healthy parts/ Non Ferrous  Scrap, Lying at ",C1188,". Quantity in MT - ")</f>
        <v>Misc. Healthy parts/ Non Ferrous  Scrap, Lying at TRY Patiala. Quantity in MT - </v>
      </c>
      <c r="H1187" s="309" t="str">
        <f ca="1">CONCATENATE(G1187,G1188,(INDIRECT(I1188)),(INDIRECT(J1188)),(INDIRECT(K1188)),(INDIRECT(L1188)),(INDIRECT(M1188)),(INDIRECT(N1188)),(INDIRECT(O1188)),(INDIRECT(P1188)),(INDIRECT(Q1188)),(INDIRECT(R1188)),".")</f>
        <v>Misc. Healthy parts/ Non Ferrous  Scrap, Lying at TRY Patiala. Quantity in MT - Brass scrap - 0.61, Misc. Alumn. Scrap - 0.039, .</v>
      </c>
      <c r="I1187" s="98" t="str">
        <f aca="true" ca="1" t="array" ref="I1187">CELL("address",INDEX(G1187:G1211,MATCH(TRUE,ISBLANK(G1187:G1211),0)))</f>
        <v>$G$1190</v>
      </c>
      <c r="J1187" s="98">
        <f aca="true" t="array" ref="J1187">MATCH(TRUE,ISBLANK(G1187:G1211),0)</f>
        <v>4</v>
      </c>
      <c r="K1187" s="98">
        <f>J1187-3</f>
        <v>1</v>
      </c>
      <c r="L1187" s="98"/>
      <c r="M1187" s="98"/>
      <c r="N1187" s="98"/>
      <c r="O1187" s="98"/>
      <c r="P1187" s="98"/>
      <c r="Q1187" s="98"/>
      <c r="R1187" s="98"/>
    </row>
    <row r="1188" spans="1:18" ht="18.75" customHeight="1">
      <c r="A1188" s="306" t="s">
        <v>263</v>
      </c>
      <c r="B1188" s="306"/>
      <c r="C1188" s="308" t="s">
        <v>120</v>
      </c>
      <c r="D1188" s="45" t="s">
        <v>23</v>
      </c>
      <c r="E1188" s="119">
        <v>0.61</v>
      </c>
      <c r="G1188" s="101" t="str">
        <f>CONCATENATE(D1188," - ",E1188,", ")</f>
        <v>Brass scrap - 0.61, </v>
      </c>
      <c r="H1188" s="309"/>
      <c r="I1188" s="98" t="str">
        <f ca="1">IF(J1187&gt;=3,(MID(I1187,2,1)&amp;MID(I1187,4,4)-K1187),CELL("address",Z1188))</f>
        <v>G1189</v>
      </c>
      <c r="J1188" s="98" t="str">
        <f ca="1">IF(J1187&gt;=4,(MID(I1188,1,1)&amp;MID(I1188,2,4)+1),CELL("address",AA1188))</f>
        <v>G1190</v>
      </c>
      <c r="K1188" s="98" t="str">
        <f ca="1">IF(J1187&gt;=5,(MID(J1188,1,1)&amp;MID(J1188,2,4)+1),CELL("address",AB1188))</f>
        <v>$AB$1188</v>
      </c>
      <c r="L1188" s="98" t="str">
        <f ca="1">IF(J1187&gt;=6,(MID(K1188,1,1)&amp;MID(K1188,2,4)+1),CELL("address",AC1188))</f>
        <v>$AC$1188</v>
      </c>
      <c r="M1188" s="98" t="str">
        <f ca="1">IF(J1187&gt;=7,(MID(L1188,1,1)&amp;MID(L1188,2,4)+1),CELL("address",AD1188))</f>
        <v>$AD$1188</v>
      </c>
      <c r="N1188" s="98" t="str">
        <f ca="1">IF(J1187&gt;=8,(MID(M1188,1,1)&amp;MID(M1188,2,4)+1),CELL("address",AE1188))</f>
        <v>$AE$1188</v>
      </c>
      <c r="O1188" s="98" t="str">
        <f ca="1">IF(J1187&gt;=9,(MID(N1188,1,1)&amp;MID(N1188,2,4)+1),CELL("address",AF1188))</f>
        <v>$AF$1188</v>
      </c>
      <c r="P1188" s="98" t="str">
        <f ca="1">IF(J1187&gt;=10,(MID(O1188,1,1)&amp;MID(O1188,2,4)+1),CELL("address",AG1188))</f>
        <v>$AG$1188</v>
      </c>
      <c r="Q1188" s="98" t="str">
        <f ca="1">IF(J1187&gt;=11,(MID(P1188,1,1)&amp;MID(P1188,2,4)+1),CELL("address",AH1188))</f>
        <v>$AH$1188</v>
      </c>
      <c r="R1188" s="98" t="str">
        <f ca="1">IF(J1187&gt;=12,(MID(Q1188,1,1)&amp;MID(Q1188,2,4)+1),CELL("address",AI1188))</f>
        <v>$AI$1188</v>
      </c>
    </row>
    <row r="1189" spans="1:8" ht="15.75" customHeight="1">
      <c r="A1189" s="306"/>
      <c r="B1189" s="306"/>
      <c r="C1189" s="308"/>
      <c r="D1189" s="45" t="s">
        <v>31</v>
      </c>
      <c r="E1189" s="68">
        <v>0.039</v>
      </c>
      <c r="G1189" s="101" t="str">
        <f>CONCATENATE(D1189," - ",E1189,", ")</f>
        <v>Misc. Alumn. Scrap - 0.039, </v>
      </c>
      <c r="H1189" s="1"/>
    </row>
    <row r="1190" spans="1:8" ht="14.25" customHeight="1">
      <c r="A1190" s="1"/>
      <c r="B1190" s="1"/>
      <c r="C1190" s="1"/>
      <c r="D1190" s="1"/>
      <c r="E1190" s="1"/>
      <c r="H1190" s="1"/>
    </row>
    <row r="1191" spans="1:8" ht="11.25" customHeight="1">
      <c r="A1191" s="310"/>
      <c r="B1191" s="311"/>
      <c r="C1191" s="66"/>
      <c r="D1191" s="66"/>
      <c r="E1191" s="67">
        <f>SUM(E1193:E1194)</f>
        <v>0.29000000000000004</v>
      </c>
      <c r="H1191" s="1"/>
    </row>
    <row r="1192" spans="1:18" ht="15" customHeight="1">
      <c r="A1192" s="306" t="s">
        <v>5</v>
      </c>
      <c r="B1192" s="306"/>
      <c r="C1192" s="64" t="s">
        <v>17</v>
      </c>
      <c r="D1192" s="65" t="s">
        <v>18</v>
      </c>
      <c r="E1192" s="64" t="s">
        <v>7</v>
      </c>
      <c r="G1192" s="168" t="str">
        <f>CONCATENATE("Misc. Healthy parts/ Non Ferrous  Scrap, Lying at ",C1193,". Quantity in MT - ")</f>
        <v>Misc. Healthy parts/ Non Ferrous  Scrap, Lying at TRY Ropar. Quantity in MT - </v>
      </c>
      <c r="H1192" s="309" t="str">
        <f ca="1">CONCATENATE(G1192,G1193,(INDIRECT(I1193)),(INDIRECT(J1193)),(INDIRECT(K1193)),(INDIRECT(L1193)),(INDIRECT(M1193)),(INDIRECT(N1193)),(INDIRECT(O1193)),(INDIRECT(P1193)),(INDIRECT(Q1193)),(INDIRECT(R1193)),".")</f>
        <v>Misc. Healthy parts/ Non Ferrous  Scrap, Lying at TRY Ropar. Quantity in MT - Misc. Alumn. Scrap - 0.154, Burnt Cu scrap - 0.136, .</v>
      </c>
      <c r="I1192" s="98" t="str">
        <f aca="true" ca="1" t="array" ref="I1192">CELL("address",INDEX(G1192:G1214,MATCH(TRUE,ISBLANK(G1192:G1214),0)))</f>
        <v>$G$1195</v>
      </c>
      <c r="J1192" s="98">
        <f aca="true" t="array" ref="J1192">MATCH(TRUE,ISBLANK(G1192:G1214),0)</f>
        <v>4</v>
      </c>
      <c r="K1192" s="98">
        <f>J1192-3</f>
        <v>1</v>
      </c>
      <c r="L1192" s="98"/>
      <c r="M1192" s="98"/>
      <c r="N1192" s="98"/>
      <c r="O1192" s="98"/>
      <c r="P1192" s="98"/>
      <c r="Q1192" s="98"/>
      <c r="R1192" s="98"/>
    </row>
    <row r="1193" spans="1:18" ht="15" customHeight="1">
      <c r="A1193" s="306" t="s">
        <v>268</v>
      </c>
      <c r="B1193" s="306"/>
      <c r="C1193" s="308" t="s">
        <v>143</v>
      </c>
      <c r="D1193" s="45" t="s">
        <v>31</v>
      </c>
      <c r="E1193" s="45">
        <v>0.154</v>
      </c>
      <c r="G1193" s="101" t="str">
        <f>CONCATENATE(D1193," - ",E1193,", ")</f>
        <v>Misc. Alumn. Scrap - 0.154, </v>
      </c>
      <c r="H1193" s="309"/>
      <c r="I1193" s="98" t="str">
        <f ca="1">IF(J1192&gt;=3,(MID(I1192,2,1)&amp;MID(I1192,4,4)-K1192),CELL("address",Z1193))</f>
        <v>G1194</v>
      </c>
      <c r="J1193" s="98" t="str">
        <f ca="1">IF(J1192&gt;=4,(MID(I1193,1,1)&amp;MID(I1193,2,4)+1),CELL("address",AA1193))</f>
        <v>G1195</v>
      </c>
      <c r="K1193" s="98" t="str">
        <f ca="1">IF(J1192&gt;=5,(MID(J1193,1,1)&amp;MID(J1193,2,4)+1),CELL("address",AB1193))</f>
        <v>$AB$1193</v>
      </c>
      <c r="L1193" s="98" t="str">
        <f ca="1">IF(J1192&gt;=6,(MID(K1193,1,1)&amp;MID(K1193,2,4)+1),CELL("address",AC1193))</f>
        <v>$AC$1193</v>
      </c>
      <c r="M1193" s="98" t="str">
        <f ca="1">IF(J1192&gt;=7,(MID(L1193,1,1)&amp;MID(L1193,2,4)+1),CELL("address",AD1193))</f>
        <v>$AD$1193</v>
      </c>
      <c r="N1193" s="98" t="str">
        <f ca="1">IF(J1192&gt;=8,(MID(M1193,1,1)&amp;MID(M1193,2,4)+1),CELL("address",AE1193))</f>
        <v>$AE$1193</v>
      </c>
      <c r="O1193" s="98" t="str">
        <f ca="1">IF(J1192&gt;=9,(MID(N1193,1,1)&amp;MID(N1193,2,4)+1),CELL("address",AF1193))</f>
        <v>$AF$1193</v>
      </c>
      <c r="P1193" s="98" t="str">
        <f ca="1">IF(J1192&gt;=10,(MID(O1193,1,1)&amp;MID(O1193,2,4)+1),CELL("address",AG1193))</f>
        <v>$AG$1193</v>
      </c>
      <c r="Q1193" s="98" t="str">
        <f ca="1">IF(J1192&gt;=11,(MID(P1193,1,1)&amp;MID(P1193,2,4)+1),CELL("address",AH1193))</f>
        <v>$AH$1193</v>
      </c>
      <c r="R1193" s="98" t="str">
        <f ca="1">IF(J1192&gt;=12,(MID(Q1193,1,1)&amp;MID(Q1193,2,4)+1),CELL("address",AI1193))</f>
        <v>$AI$1193</v>
      </c>
    </row>
    <row r="1194" spans="1:8" ht="15" customHeight="1">
      <c r="A1194" s="306"/>
      <c r="B1194" s="306"/>
      <c r="C1194" s="308"/>
      <c r="D1194" s="40" t="s">
        <v>37</v>
      </c>
      <c r="E1194" s="64">
        <v>0.136</v>
      </c>
      <c r="G1194" s="101" t="str">
        <f>CONCATENATE(D1194," - ",E1194,", ")</f>
        <v>Burnt Cu scrap - 0.136, </v>
      </c>
      <c r="H1194" s="1"/>
    </row>
    <row r="1195" spans="1:8" ht="15" customHeight="1">
      <c r="A1195" s="1"/>
      <c r="B1195" s="1"/>
      <c r="C1195" s="1"/>
      <c r="D1195" s="1"/>
      <c r="E1195" s="1"/>
      <c r="H1195" s="1"/>
    </row>
    <row r="1196" spans="1:8" ht="15" customHeight="1">
      <c r="A1196" s="310"/>
      <c r="B1196" s="311"/>
      <c r="C1196" s="66"/>
      <c r="D1196" s="66"/>
      <c r="E1196" s="118">
        <f>SUM(E1198:E1200)</f>
        <v>0.277</v>
      </c>
      <c r="H1196" s="1"/>
    </row>
    <row r="1197" spans="1:18" ht="15" customHeight="1">
      <c r="A1197" s="306" t="s">
        <v>5</v>
      </c>
      <c r="B1197" s="306"/>
      <c r="C1197" s="64" t="s">
        <v>17</v>
      </c>
      <c r="D1197" s="65" t="s">
        <v>18</v>
      </c>
      <c r="E1197" s="68" t="s">
        <v>7</v>
      </c>
      <c r="G1197" s="168" t="str">
        <f>CONCATENATE("Misc. Healthy parts/ Non Ferrous  Scrap, Lying at ",C1198,". Quantity in MT - ")</f>
        <v>Misc. Healthy parts/ Non Ferrous  Scrap, Lying at TRY Kotkapura. Quantity in MT - </v>
      </c>
      <c r="H1197" s="309" t="str">
        <f ca="1">CONCATENATE(G1197,G1198,(INDIRECT(I1198)),(INDIRECT(J1198)),(INDIRECT(K1198)),(INDIRECT(L1198)),(INDIRECT(M1198)),(INDIRECT(N1198)),(INDIRECT(O1198)),(INDIRECT(P1198)),(INDIRECT(Q1198)),(INDIRECT(R1198)),".")</f>
        <v>Misc. Healthy parts/ Non Ferrous  Scrap, Lying at TRY Kotkapura. Quantity in MT - Misc. Alumn. Scrap - 0.055, Iron scrap - 0.058, Brass scrap - 0.164, .</v>
      </c>
      <c r="I1197" s="98" t="str">
        <f aca="true" ca="1" t="array" ref="I1197">CELL("address",INDEX(G1197:G1219,MATCH(TRUE,ISBLANK(G1197:G1219),0)))</f>
        <v>$G$1201</v>
      </c>
      <c r="J1197" s="98">
        <f aca="true" t="array" ref="J1197">MATCH(TRUE,ISBLANK(G1197:G1219),0)</f>
        <v>5</v>
      </c>
      <c r="K1197" s="98">
        <f>J1197-3</f>
        <v>2</v>
      </c>
      <c r="L1197" s="98"/>
      <c r="M1197" s="98"/>
      <c r="N1197" s="98"/>
      <c r="O1197" s="98"/>
      <c r="P1197" s="98"/>
      <c r="Q1197" s="98"/>
      <c r="R1197" s="98"/>
    </row>
    <row r="1198" spans="1:18" ht="15" customHeight="1">
      <c r="A1198" s="306" t="s">
        <v>367</v>
      </c>
      <c r="B1198" s="306"/>
      <c r="C1198" s="308" t="s">
        <v>245</v>
      </c>
      <c r="D1198" s="45" t="s">
        <v>31</v>
      </c>
      <c r="E1198" s="68">
        <v>0.055</v>
      </c>
      <c r="G1198" s="101" t="str">
        <f>CONCATENATE(D1198," - ",E1198,", ")</f>
        <v>Misc. Alumn. Scrap - 0.055, </v>
      </c>
      <c r="H1198" s="309"/>
      <c r="I1198" s="98" t="str">
        <f ca="1">IF(J1197&gt;=3,(MID(I1197,2,1)&amp;MID(I1197,4,4)-K1197),CELL("address",Z1198))</f>
        <v>G1199</v>
      </c>
      <c r="J1198" s="98" t="str">
        <f ca="1">IF(J1197&gt;=4,(MID(I1198,1,1)&amp;MID(I1198,2,4)+1),CELL("address",AA1198))</f>
        <v>G1200</v>
      </c>
      <c r="K1198" s="98" t="str">
        <f ca="1">IF(J1197&gt;=5,(MID(J1198,1,1)&amp;MID(J1198,2,4)+1),CELL("address",AB1198))</f>
        <v>G1201</v>
      </c>
      <c r="L1198" s="98" t="str">
        <f ca="1">IF(J1197&gt;=6,(MID(K1198,1,1)&amp;MID(K1198,2,4)+1),CELL("address",AC1198))</f>
        <v>$AC$1198</v>
      </c>
      <c r="M1198" s="98" t="str">
        <f ca="1">IF(J1197&gt;=7,(MID(L1198,1,1)&amp;MID(L1198,2,4)+1),CELL("address",AD1198))</f>
        <v>$AD$1198</v>
      </c>
      <c r="N1198" s="98" t="str">
        <f ca="1">IF(J1197&gt;=8,(MID(M1198,1,1)&amp;MID(M1198,2,4)+1),CELL("address",AE1198))</f>
        <v>$AE$1198</v>
      </c>
      <c r="O1198" s="98" t="str">
        <f ca="1">IF(J1197&gt;=9,(MID(N1198,1,1)&amp;MID(N1198,2,4)+1),CELL("address",AF1198))</f>
        <v>$AF$1198</v>
      </c>
      <c r="P1198" s="98" t="str">
        <f ca="1">IF(J1197&gt;=10,(MID(O1198,1,1)&amp;MID(O1198,2,4)+1),CELL("address",AG1198))</f>
        <v>$AG$1198</v>
      </c>
      <c r="Q1198" s="98" t="str">
        <f ca="1">IF(J1197&gt;=11,(MID(P1198,1,1)&amp;MID(P1198,2,4)+1),CELL("address",AH1198))</f>
        <v>$AH$1198</v>
      </c>
      <c r="R1198" s="98" t="str">
        <f ca="1">IF(J1197&gt;=12,(MID(Q1198,1,1)&amp;MID(Q1198,2,4)+1),CELL("address",AI1198))</f>
        <v>$AI$1198</v>
      </c>
    </row>
    <row r="1199" spans="1:8" ht="15" customHeight="1">
      <c r="A1199" s="306"/>
      <c r="B1199" s="306"/>
      <c r="C1199" s="308"/>
      <c r="D1199" s="40" t="s">
        <v>27</v>
      </c>
      <c r="E1199" s="68">
        <v>0.058</v>
      </c>
      <c r="G1199" s="101" t="str">
        <f>CONCATENATE(D1199," - ",E1199,", ")</f>
        <v>Iron scrap - 0.058, </v>
      </c>
      <c r="H1199" s="1"/>
    </row>
    <row r="1200" spans="1:8" ht="15" customHeight="1">
      <c r="A1200" s="306"/>
      <c r="B1200" s="306"/>
      <c r="C1200" s="308"/>
      <c r="D1200" s="45" t="s">
        <v>23</v>
      </c>
      <c r="E1200" s="64">
        <v>0.164</v>
      </c>
      <c r="G1200" s="101" t="str">
        <f>CONCATENATE(D1200," - ",E1200,", ")</f>
        <v>Brass scrap - 0.164, </v>
      </c>
      <c r="H1200" s="1"/>
    </row>
    <row r="1201" spans="1:8" ht="13.5" customHeight="1">
      <c r="A1201" s="1"/>
      <c r="B1201" s="1"/>
      <c r="C1201" s="1"/>
      <c r="D1201" s="1"/>
      <c r="E1201" s="1"/>
      <c r="H1201" s="1"/>
    </row>
    <row r="1202" spans="1:8" ht="13.5" customHeight="1">
      <c r="A1202" s="310"/>
      <c r="B1202" s="311"/>
      <c r="C1202" s="66"/>
      <c r="D1202" s="66"/>
      <c r="E1202" s="118">
        <f>SUM(E1204:E1205)</f>
        <v>0.007</v>
      </c>
      <c r="H1202" s="1"/>
    </row>
    <row r="1203" spans="1:18" ht="15" customHeight="1">
      <c r="A1203" s="306" t="s">
        <v>5</v>
      </c>
      <c r="B1203" s="306"/>
      <c r="C1203" s="64" t="s">
        <v>17</v>
      </c>
      <c r="D1203" s="65" t="s">
        <v>18</v>
      </c>
      <c r="E1203" s="68" t="s">
        <v>7</v>
      </c>
      <c r="G1203" s="168" t="str">
        <f>CONCATENATE("Misc. Healthy parts/ Non Ferrous  Scrap, Lying at ",C1204,". Quantity in MT - ")</f>
        <v>Misc. Healthy parts/ Non Ferrous  Scrap, Lying at TRY Moga. Quantity in MT - </v>
      </c>
      <c r="H1203" s="309" t="str">
        <f ca="1">CONCATENATE(G1203,G1204,(INDIRECT(I1204)),(INDIRECT(J1204)),(INDIRECT(K1204)),(INDIRECT(L1204)),(INDIRECT(M1204)),(INDIRECT(N1204)),(INDIRECT(O1204)),(INDIRECT(P1204)),(INDIRECT(Q1204)),(INDIRECT(R1204)),".")</f>
        <v>Misc. Healthy parts/ Non Ferrous  Scrap, Lying at TRY Moga. Quantity in MT - Misc. Alumn. Scrap - 0.004, Iron scrap - 0.003, .</v>
      </c>
      <c r="I1203" s="98" t="str">
        <f aca="true" ca="1" t="array" ref="I1203">CELL("address",INDEX(G1203:G1224,MATCH(TRUE,ISBLANK(G1203:G1224),0)))</f>
        <v>$G$1206</v>
      </c>
      <c r="J1203" s="98">
        <f aca="true" t="array" ref="J1203">MATCH(TRUE,ISBLANK(G1203:G1224),0)</f>
        <v>4</v>
      </c>
      <c r="K1203" s="98">
        <f>J1203-3</f>
        <v>1</v>
      </c>
      <c r="L1203" s="98"/>
      <c r="M1203" s="98"/>
      <c r="N1203" s="98"/>
      <c r="O1203" s="98"/>
      <c r="P1203" s="98"/>
      <c r="Q1203" s="98"/>
      <c r="R1203" s="98"/>
    </row>
    <row r="1204" spans="1:18" ht="15" customHeight="1">
      <c r="A1204" s="306" t="s">
        <v>438</v>
      </c>
      <c r="B1204" s="306"/>
      <c r="C1204" s="308" t="s">
        <v>221</v>
      </c>
      <c r="D1204" s="45" t="s">
        <v>31</v>
      </c>
      <c r="E1204" s="119">
        <v>0.004</v>
      </c>
      <c r="G1204" s="101" t="str">
        <f>CONCATENATE(D1204," - ",E1204,", ")</f>
        <v>Misc. Alumn. Scrap - 0.004, </v>
      </c>
      <c r="H1204" s="309"/>
      <c r="I1204" s="98" t="str">
        <f ca="1">IF(J1203&gt;=3,(MID(I1203,2,1)&amp;MID(I1203,4,4)-K1203),CELL("address",Z1204))</f>
        <v>G1205</v>
      </c>
      <c r="J1204" s="98" t="str">
        <f ca="1">IF(J1203&gt;=4,(MID(I1204,1,1)&amp;MID(I1204,2,4)+1),CELL("address",AA1204))</f>
        <v>G1206</v>
      </c>
      <c r="K1204" s="98" t="str">
        <f ca="1">IF(J1203&gt;=5,(MID(J1204,1,1)&amp;MID(J1204,2,4)+1),CELL("address",AB1204))</f>
        <v>$AB$1204</v>
      </c>
      <c r="L1204" s="98" t="str">
        <f ca="1">IF(J1203&gt;=6,(MID(K1204,1,1)&amp;MID(K1204,2,4)+1),CELL("address",AC1204))</f>
        <v>$AC$1204</v>
      </c>
      <c r="M1204" s="98" t="str">
        <f ca="1">IF(J1203&gt;=7,(MID(L1204,1,1)&amp;MID(L1204,2,4)+1),CELL("address",AD1204))</f>
        <v>$AD$1204</v>
      </c>
      <c r="N1204" s="98" t="str">
        <f ca="1">IF(J1203&gt;=8,(MID(M1204,1,1)&amp;MID(M1204,2,4)+1),CELL("address",AE1204))</f>
        <v>$AE$1204</v>
      </c>
      <c r="O1204" s="98" t="str">
        <f ca="1">IF(J1203&gt;=9,(MID(N1204,1,1)&amp;MID(N1204,2,4)+1),CELL("address",AF1204))</f>
        <v>$AF$1204</v>
      </c>
      <c r="P1204" s="98" t="str">
        <f ca="1">IF(J1203&gt;=10,(MID(O1204,1,1)&amp;MID(O1204,2,4)+1),CELL("address",AG1204))</f>
        <v>$AG$1204</v>
      </c>
      <c r="Q1204" s="98" t="str">
        <f ca="1">IF(J1203&gt;=11,(MID(P1204,1,1)&amp;MID(P1204,2,4)+1),CELL("address",AH1204))</f>
        <v>$AH$1204</v>
      </c>
      <c r="R1204" s="98" t="str">
        <f ca="1">IF(J1203&gt;=12,(MID(Q1204,1,1)&amp;MID(Q1204,2,4)+1),CELL("address",AI1204))</f>
        <v>$AI$1204</v>
      </c>
    </row>
    <row r="1205" spans="1:8" ht="15" customHeight="1">
      <c r="A1205" s="306"/>
      <c r="B1205" s="306"/>
      <c r="C1205" s="308"/>
      <c r="D1205" s="40" t="s">
        <v>27</v>
      </c>
      <c r="E1205" s="68">
        <v>0.003</v>
      </c>
      <c r="G1205" s="101" t="str">
        <f>CONCATENATE(D1205," - ",E1205,", ")</f>
        <v>Iron scrap - 0.003, </v>
      </c>
      <c r="H1205" s="1"/>
    </row>
    <row r="1206" spans="1:8" ht="15" customHeight="1">
      <c r="A1206" s="1"/>
      <c r="B1206" s="1"/>
      <c r="C1206" s="1"/>
      <c r="D1206" s="1"/>
      <c r="E1206" s="1"/>
      <c r="H1206" s="1"/>
    </row>
    <row r="1207" spans="1:8" ht="15" customHeight="1">
      <c r="A1207" s="310"/>
      <c r="B1207" s="311"/>
      <c r="C1207" s="66"/>
      <c r="D1207" s="66"/>
      <c r="E1207" s="118">
        <f>SUM(E1209:E1210)</f>
        <v>0.099</v>
      </c>
      <c r="H1207" s="1"/>
    </row>
    <row r="1208" spans="1:18" ht="15" customHeight="1">
      <c r="A1208" s="306" t="s">
        <v>5</v>
      </c>
      <c r="B1208" s="306"/>
      <c r="C1208" s="64" t="s">
        <v>17</v>
      </c>
      <c r="D1208" s="65" t="s">
        <v>18</v>
      </c>
      <c r="E1208" s="68" t="s">
        <v>7</v>
      </c>
      <c r="G1208" s="168" t="str">
        <f>CONCATENATE("Misc. Healthy parts/ Non Ferrous  Scrap, Lying at ",C1209,". Quantity in MT - ")</f>
        <v>Misc. Healthy parts/ Non Ferrous  Scrap, Lying at OL Nabha. Quantity in MT - </v>
      </c>
      <c r="H1208" s="309" t="str">
        <f ca="1">CONCATENATE(G1208,G1209,(INDIRECT(I1209)),(INDIRECT(J1209)),(INDIRECT(K1209)),(INDIRECT(L1209)),(INDIRECT(M1209)),(INDIRECT(N1209)),(INDIRECT(O1209)),(INDIRECT(P1209)),(INDIRECT(Q1209)),(INDIRECT(R1209)),".")</f>
        <v>Misc. Healthy parts/ Non Ferrous  Scrap, Lying at OL Nabha. Quantity in MT - Misc. Alumn. Scrap - 0.007, Misc. copper scrap - 0.092, .</v>
      </c>
      <c r="I1208" s="98" t="str">
        <f aca="true" ca="1" t="array" ref="I1208">CELL("address",INDEX(G1208:G1224,MATCH(TRUE,ISBLANK(G1208:G1224),0)))</f>
        <v>$G$1211</v>
      </c>
      <c r="J1208" s="98">
        <f aca="true" t="array" ref="J1208">MATCH(TRUE,ISBLANK(G1208:G1224),0)</f>
        <v>4</v>
      </c>
      <c r="K1208" s="98">
        <f>J1208-3</f>
        <v>1</v>
      </c>
      <c r="L1208" s="98"/>
      <c r="M1208" s="98"/>
      <c r="N1208" s="98"/>
      <c r="O1208" s="98"/>
      <c r="P1208" s="98"/>
      <c r="Q1208" s="98"/>
      <c r="R1208" s="98"/>
    </row>
    <row r="1209" spans="1:18" ht="15" customHeight="1">
      <c r="A1209" s="306" t="s">
        <v>503</v>
      </c>
      <c r="B1209" s="306"/>
      <c r="C1209" s="308" t="s">
        <v>104</v>
      </c>
      <c r="D1209" s="45" t="s">
        <v>31</v>
      </c>
      <c r="E1209" s="119">
        <v>0.007</v>
      </c>
      <c r="G1209" s="101" t="str">
        <f>CONCATENATE(D1209," - ",E1209,", ")</f>
        <v>Misc. Alumn. Scrap - 0.007, </v>
      </c>
      <c r="H1209" s="309"/>
      <c r="I1209" s="98" t="str">
        <f ca="1">IF(J1208&gt;=3,(MID(I1208,2,1)&amp;MID(I1208,4,4)-K1208),CELL("address",Z1209))</f>
        <v>G1210</v>
      </c>
      <c r="J1209" s="98" t="str">
        <f ca="1">IF(J1208&gt;=4,(MID(I1209,1,1)&amp;MID(I1209,2,4)+1),CELL("address",AA1209))</f>
        <v>G1211</v>
      </c>
      <c r="K1209" s="98" t="str">
        <f ca="1">IF(J1208&gt;=5,(MID(J1209,1,1)&amp;MID(J1209,2,4)+1),CELL("address",AB1209))</f>
        <v>$AB$1209</v>
      </c>
      <c r="L1209" s="98" t="str">
        <f ca="1">IF(J1208&gt;=6,(MID(K1209,1,1)&amp;MID(K1209,2,4)+1),CELL("address",AC1209))</f>
        <v>$AC$1209</v>
      </c>
      <c r="M1209" s="98" t="str">
        <f ca="1">IF(J1208&gt;=7,(MID(L1209,1,1)&amp;MID(L1209,2,4)+1),CELL("address",AD1209))</f>
        <v>$AD$1209</v>
      </c>
      <c r="N1209" s="98" t="str">
        <f ca="1">IF(J1208&gt;=8,(MID(M1209,1,1)&amp;MID(M1209,2,4)+1),CELL("address",AE1209))</f>
        <v>$AE$1209</v>
      </c>
      <c r="O1209" s="98" t="str">
        <f ca="1">IF(J1208&gt;=9,(MID(N1209,1,1)&amp;MID(N1209,2,4)+1),CELL("address",AF1209))</f>
        <v>$AF$1209</v>
      </c>
      <c r="P1209" s="98" t="str">
        <f ca="1">IF(J1208&gt;=10,(MID(O1209,1,1)&amp;MID(O1209,2,4)+1),CELL("address",AG1209))</f>
        <v>$AG$1209</v>
      </c>
      <c r="Q1209" s="98" t="str">
        <f ca="1">IF(J1208&gt;=11,(MID(P1209,1,1)&amp;MID(P1209,2,4)+1),CELL("address",AH1209))</f>
        <v>$AH$1209</v>
      </c>
      <c r="R1209" s="98" t="str">
        <f ca="1">IF(J1208&gt;=12,(MID(Q1209,1,1)&amp;MID(Q1209,2,4)+1),CELL("address",AI1209))</f>
        <v>$AI$1209</v>
      </c>
    </row>
    <row r="1210" spans="1:8" ht="15" customHeight="1">
      <c r="A1210" s="306"/>
      <c r="B1210" s="306"/>
      <c r="C1210" s="308"/>
      <c r="D1210" s="60" t="s">
        <v>111</v>
      </c>
      <c r="E1210" s="68">
        <v>0.092</v>
      </c>
      <c r="G1210" s="101" t="str">
        <f>CONCATENATE(D1210," - ",E1210,", ")</f>
        <v>Misc. copper scrap - 0.092, </v>
      </c>
      <c r="H1210" s="1"/>
    </row>
    <row r="1211" spans="1:8" ht="15" customHeight="1">
      <c r="A1211" s="1"/>
      <c r="B1211" s="1"/>
      <c r="C1211" s="1"/>
      <c r="D1211" s="1"/>
      <c r="E1211" s="1"/>
      <c r="H1211" s="1"/>
    </row>
    <row r="1212" spans="1:8" ht="15" customHeight="1">
      <c r="A1212" s="310"/>
      <c r="B1212" s="311"/>
      <c r="C1212" s="66"/>
      <c r="D1212" s="66"/>
      <c r="E1212" s="67">
        <f>SUM(E1214:E1214)</f>
        <v>2</v>
      </c>
      <c r="H1212" s="1"/>
    </row>
    <row r="1213" spans="1:18" ht="15" customHeight="1">
      <c r="A1213" s="306" t="s">
        <v>5</v>
      </c>
      <c r="B1213" s="306"/>
      <c r="C1213" s="64" t="s">
        <v>17</v>
      </c>
      <c r="D1213" s="65" t="s">
        <v>18</v>
      </c>
      <c r="E1213" s="64" t="s">
        <v>7</v>
      </c>
      <c r="G1213" s="168" t="str">
        <f>CONCATENATE("Misc. Healthy parts/ Non Ferrous  Scrap, Lying at ",C1214,". Quantity in MT - ")</f>
        <v>Misc. Healthy parts/ Non Ferrous  Scrap, Lying at TRY Malerkotla. Quantity in MT - </v>
      </c>
      <c r="H1213" s="309" t="str">
        <f ca="1">CONCATENATE(G1213,G1214,(INDIRECT(I1214)),(INDIRECT(J1214)),(INDIRECT(K1214)),(INDIRECT(L1214)),(INDIRECT(M1214)),(INDIRECT(N1214)),(INDIRECT(O1214)),(INDIRECT(P1214)),(INDIRECT(Q1214)),(INDIRECT(R1214)),".")</f>
        <v>Misc. Healthy parts/ Non Ferrous  Scrap, Lying at TRY Malerkotla. Quantity in MT - Brass scrap - 2, .</v>
      </c>
      <c r="I1213" s="98" t="str">
        <f aca="true" ca="1" t="array" ref="I1213">CELL("address",INDEX(G1213:G1229,MATCH(TRUE,ISBLANK(G1213:G1229),0)))</f>
        <v>$G$1215</v>
      </c>
      <c r="J1213" s="98">
        <f aca="true" t="array" ref="J1213">MATCH(TRUE,ISBLANK(G1213:G1229),0)</f>
        <v>3</v>
      </c>
      <c r="K1213" s="98">
        <f>J1213-3</f>
        <v>0</v>
      </c>
      <c r="L1213" s="98"/>
      <c r="M1213" s="98"/>
      <c r="N1213" s="98"/>
      <c r="O1213" s="98"/>
      <c r="P1213" s="98"/>
      <c r="Q1213" s="98"/>
      <c r="R1213" s="98"/>
    </row>
    <row r="1214" spans="1:24" ht="15" customHeight="1">
      <c r="A1214" s="306" t="s">
        <v>504</v>
      </c>
      <c r="B1214" s="306"/>
      <c r="C1214" s="254" t="s">
        <v>28</v>
      </c>
      <c r="D1214" s="45" t="s">
        <v>23</v>
      </c>
      <c r="E1214" s="47">
        <v>2</v>
      </c>
      <c r="G1214" s="101" t="str">
        <f>CONCATENATE(D1214," - ",E1214,", ")</f>
        <v>Brass scrap - 2, </v>
      </c>
      <c r="H1214" s="309"/>
      <c r="I1214" s="98" t="str">
        <f ca="1">IF(J1213&gt;=3,(MID(I1213,2,1)&amp;MID(I1213,4,4)-K1213),CELL("address",Z1214))</f>
        <v>G1215</v>
      </c>
      <c r="J1214" s="98" t="str">
        <f ca="1">IF(J1213&gt;=4,(MID(I1214,1,1)&amp;MID(I1214,2,4)+1),CELL("address",AA1214))</f>
        <v>$AA$1214</v>
      </c>
      <c r="K1214" s="98" t="str">
        <f ca="1">IF(J1213&gt;=5,(MID(J1214,1,1)&amp;MID(J1214,2,4)+1),CELL("address",AB1214))</f>
        <v>$AB$1214</v>
      </c>
      <c r="L1214" s="98" t="str">
        <f ca="1">IF(J1213&gt;=6,(MID(K1214,1,1)&amp;MID(K1214,2,4)+1),CELL("address",AC1214))</f>
        <v>$AC$1214</v>
      </c>
      <c r="M1214" s="98" t="str">
        <f ca="1">IF(J1213&gt;=7,(MID(L1214,1,1)&amp;MID(L1214,2,4)+1),CELL("address",AD1214))</f>
        <v>$AD$1214</v>
      </c>
      <c r="N1214" s="98" t="str">
        <f ca="1">IF(J1213&gt;=8,(MID(M1214,1,1)&amp;MID(M1214,2,4)+1),CELL("address",AE1214))</f>
        <v>$AE$1214</v>
      </c>
      <c r="O1214" s="98" t="str">
        <f ca="1">IF(J1213&gt;=9,(MID(N1214,1,1)&amp;MID(N1214,2,4)+1),CELL("address",AF1214))</f>
        <v>$AF$1214</v>
      </c>
      <c r="P1214" s="98" t="str">
        <f ca="1">IF(J1213&gt;=10,(MID(O1214,1,1)&amp;MID(O1214,2,4)+1),CELL("address",AG1214))</f>
        <v>$AG$1214</v>
      </c>
      <c r="Q1214" s="98" t="str">
        <f ca="1">IF(J1213&gt;=11,(MID(P1214,1,1)&amp;MID(P1214,2,4)+1),CELL("address",AH1214))</f>
        <v>$AH$1214</v>
      </c>
      <c r="R1214" s="98" t="str">
        <f ca="1">IF(J1213&gt;=12,(MID(Q1214,1,1)&amp;MID(Q1214,2,4)+1),CELL("address",AI1214))</f>
        <v>$AI$1214</v>
      </c>
      <c r="T1214" s="312" t="s">
        <v>510</v>
      </c>
      <c r="U1214" s="312"/>
      <c r="V1214" s="312"/>
      <c r="W1214" s="312"/>
      <c r="X1214" s="312"/>
    </row>
    <row r="1215" spans="1:8" ht="15" customHeight="1">
      <c r="A1215" s="1"/>
      <c r="B1215" s="1"/>
      <c r="C1215" s="1"/>
      <c r="D1215" s="1"/>
      <c r="E1215" s="1"/>
      <c r="H1215" s="1"/>
    </row>
    <row r="1216" spans="1:8" ht="15" customHeight="1">
      <c r="A1216" s="310"/>
      <c r="B1216" s="311"/>
      <c r="C1216" s="66"/>
      <c r="D1216" s="66"/>
      <c r="E1216" s="67">
        <f>SUM(E1218:E1220)</f>
        <v>2.169</v>
      </c>
      <c r="H1216" s="1"/>
    </row>
    <row r="1217" spans="1:18" ht="15" customHeight="1">
      <c r="A1217" s="306" t="s">
        <v>5</v>
      </c>
      <c r="B1217" s="306"/>
      <c r="C1217" s="64" t="s">
        <v>17</v>
      </c>
      <c r="D1217" s="65" t="s">
        <v>18</v>
      </c>
      <c r="E1217" s="64" t="s">
        <v>7</v>
      </c>
      <c r="G1217" s="168" t="str">
        <f>CONCATENATE("Misc. Healthy parts/ Non Ferrous  Scrap, Lying at ",C1218,". Quantity in MT - ")</f>
        <v>Misc. Healthy parts/ Non Ferrous  Scrap, Lying at TRY Malout. Quantity in MT - </v>
      </c>
      <c r="H1217" s="309" t="str">
        <f ca="1">CONCATENATE(G1217,G1218,(INDIRECT(I1218)),(INDIRECT(J1218)),(INDIRECT(K1218)),(INDIRECT(L1218)),(INDIRECT(M1218)),(INDIRECT(N1218)),(INDIRECT(O1218)),(INDIRECT(P1218)),(INDIRECT(Q1218)),(INDIRECT(R1218)),".")</f>
        <v>Misc. Healthy parts/ Non Ferrous  Scrap, Lying at TRY Malout. Quantity in MT - Brass scrap - 1.939, Misc. Alumn. Scrap - 0.205, Iron scrap - 0.025, .</v>
      </c>
      <c r="I1217" s="98" t="str">
        <f aca="true" ca="1" t="array" ref="I1217">CELL("address",INDEX(G1217:G1232,MATCH(TRUE,ISBLANK(G1217:G1232),0)))</f>
        <v>$G$1221</v>
      </c>
      <c r="J1217" s="98">
        <f aca="true" t="array" ref="J1217">MATCH(TRUE,ISBLANK(G1217:G1232),0)</f>
        <v>5</v>
      </c>
      <c r="K1217" s="98">
        <f>J1217-3</f>
        <v>2</v>
      </c>
      <c r="L1217" s="98"/>
      <c r="M1217" s="98"/>
      <c r="N1217" s="98"/>
      <c r="O1217" s="98"/>
      <c r="P1217" s="98"/>
      <c r="Q1217" s="98"/>
      <c r="R1217" s="98"/>
    </row>
    <row r="1218" spans="1:18" ht="15" customHeight="1">
      <c r="A1218" s="306" t="s">
        <v>505</v>
      </c>
      <c r="B1218" s="306"/>
      <c r="C1218" s="308" t="s">
        <v>164</v>
      </c>
      <c r="D1218" s="45" t="s">
        <v>23</v>
      </c>
      <c r="E1218" s="47">
        <v>1.939</v>
      </c>
      <c r="G1218" s="101" t="str">
        <f>CONCATENATE(D1218," - ",E1218,", ")</f>
        <v>Brass scrap - 1.939, </v>
      </c>
      <c r="H1218" s="309"/>
      <c r="I1218" s="98" t="str">
        <f ca="1">IF(J1217&gt;=3,(MID(I1217,2,1)&amp;MID(I1217,4,4)-K1217),CELL("address",Z1218))</f>
        <v>G1219</v>
      </c>
      <c r="J1218" s="98" t="str">
        <f ca="1">IF(J1217&gt;=4,(MID(I1218,1,1)&amp;MID(I1218,2,4)+1),CELL("address",AA1218))</f>
        <v>G1220</v>
      </c>
      <c r="K1218" s="98" t="str">
        <f ca="1">IF(J1217&gt;=5,(MID(J1218,1,1)&amp;MID(J1218,2,4)+1),CELL("address",AB1218))</f>
        <v>G1221</v>
      </c>
      <c r="L1218" s="98" t="str">
        <f ca="1">IF(J1217&gt;=6,(MID(K1218,1,1)&amp;MID(K1218,2,4)+1),CELL("address",AC1218))</f>
        <v>$AC$1218</v>
      </c>
      <c r="M1218" s="98" t="str">
        <f ca="1">IF(J1217&gt;=7,(MID(L1218,1,1)&amp;MID(L1218,2,4)+1),CELL("address",AD1218))</f>
        <v>$AD$1218</v>
      </c>
      <c r="N1218" s="98" t="str">
        <f ca="1">IF(J1217&gt;=8,(MID(M1218,1,1)&amp;MID(M1218,2,4)+1),CELL("address",AE1218))</f>
        <v>$AE$1218</v>
      </c>
      <c r="O1218" s="98" t="str">
        <f ca="1">IF(J1217&gt;=9,(MID(N1218,1,1)&amp;MID(N1218,2,4)+1),CELL("address",AF1218))</f>
        <v>$AF$1218</v>
      </c>
      <c r="P1218" s="98" t="str">
        <f ca="1">IF(J1217&gt;=10,(MID(O1218,1,1)&amp;MID(O1218,2,4)+1),CELL("address",AG1218))</f>
        <v>$AG$1218</v>
      </c>
      <c r="Q1218" s="98" t="str">
        <f ca="1">IF(J1217&gt;=11,(MID(P1218,1,1)&amp;MID(P1218,2,4)+1),CELL("address",AH1218))</f>
        <v>$AH$1218</v>
      </c>
      <c r="R1218" s="98" t="str">
        <f ca="1">IF(J1217&gt;=12,(MID(Q1218,1,1)&amp;MID(Q1218,2,4)+1),CELL("address",AI1218))</f>
        <v>$AI$1218</v>
      </c>
    </row>
    <row r="1219" spans="1:8" ht="15" customHeight="1">
      <c r="A1219" s="306"/>
      <c r="B1219" s="306"/>
      <c r="C1219" s="308"/>
      <c r="D1219" s="45" t="s">
        <v>31</v>
      </c>
      <c r="E1219" s="269">
        <v>0.205</v>
      </c>
      <c r="G1219" s="101" t="str">
        <f>CONCATENATE(D1219," - ",E1219,", ")</f>
        <v>Misc. Alumn. Scrap - 0.205, </v>
      </c>
      <c r="H1219" s="1"/>
    </row>
    <row r="1220" spans="1:8" ht="15" customHeight="1">
      <c r="A1220" s="306"/>
      <c r="B1220" s="306"/>
      <c r="C1220" s="308"/>
      <c r="D1220" s="40" t="s">
        <v>27</v>
      </c>
      <c r="E1220" s="269">
        <v>0.025</v>
      </c>
      <c r="G1220" s="101" t="str">
        <f>CONCATENATE(D1220," - ",E1220,", ")</f>
        <v>Iron scrap - 0.025, </v>
      </c>
      <c r="H1220" s="1"/>
    </row>
    <row r="1221" spans="1:8" ht="15" customHeight="1">
      <c r="A1221" s="1"/>
      <c r="B1221" s="1"/>
      <c r="C1221" s="1"/>
      <c r="D1221" s="1"/>
      <c r="E1221" s="1"/>
      <c r="H1221" s="1"/>
    </row>
    <row r="1222" spans="1:8" ht="15.75" customHeight="1">
      <c r="A1222" s="310"/>
      <c r="B1222" s="311"/>
      <c r="C1222" s="66"/>
      <c r="D1222" s="66"/>
      <c r="E1222" s="67">
        <f>SUM(E1224:E1224)</f>
        <v>0.008</v>
      </c>
      <c r="H1222" s="1"/>
    </row>
    <row r="1223" spans="1:18" ht="15.75" customHeight="1">
      <c r="A1223" s="306" t="s">
        <v>5</v>
      </c>
      <c r="B1223" s="306"/>
      <c r="C1223" s="64" t="s">
        <v>17</v>
      </c>
      <c r="D1223" s="65" t="s">
        <v>18</v>
      </c>
      <c r="E1223" s="64" t="s">
        <v>7</v>
      </c>
      <c r="G1223" s="168" t="str">
        <f>CONCATENATE("Misc. Healthy parts/ Non Ferrous  Scrap, Lying at ",C1224,". Quantity in MT - ")</f>
        <v>Misc. Healthy parts/ Non Ferrous  Scrap, Lying at CS Sangrur. Quantity in MT - </v>
      </c>
      <c r="H1223" s="309" t="str">
        <f ca="1">CONCATENATE(G1223,G1224,(INDIRECT(I1224)),(INDIRECT(J1224)),(INDIRECT(K1224)),(INDIRECT(L1224)),(INDIRECT(M1224)),(INDIRECT(N1224)),(INDIRECT(O1224)),(INDIRECT(P1224)),(INDIRECT(Q1224)),(INDIRECT(R1224)),".")</f>
        <v>Misc. Healthy parts/ Non Ferrous  Scrap, Lying at CS Sangrur. Quantity in MT - Misc. copper scrap - 0.008, .</v>
      </c>
      <c r="I1223" s="98" t="str">
        <f aca="true" ca="1" t="array" ref="I1223">CELL("address",INDEX(G1223:G1238,MATCH(TRUE,ISBLANK(G1223:G1238),0)))</f>
        <v>$G$1225</v>
      </c>
      <c r="J1223" s="98">
        <f aca="true" t="array" ref="J1223">MATCH(TRUE,ISBLANK(G1223:G1238),0)</f>
        <v>3</v>
      </c>
      <c r="K1223" s="98">
        <f>J1223-3</f>
        <v>0</v>
      </c>
      <c r="L1223" s="98"/>
      <c r="M1223" s="98"/>
      <c r="N1223" s="98"/>
      <c r="O1223" s="98"/>
      <c r="P1223" s="98"/>
      <c r="Q1223" s="98"/>
      <c r="R1223" s="98"/>
    </row>
    <row r="1224" spans="1:18" ht="15.75" customHeight="1">
      <c r="A1224" s="306" t="s">
        <v>509</v>
      </c>
      <c r="B1224" s="306"/>
      <c r="C1224" s="254" t="s">
        <v>79</v>
      </c>
      <c r="D1224" s="45" t="s">
        <v>111</v>
      </c>
      <c r="E1224" s="47">
        <v>0.008</v>
      </c>
      <c r="G1224" s="101" t="str">
        <f>CONCATENATE(D1224," - ",E1224,", ")</f>
        <v>Misc. copper scrap - 0.008, </v>
      </c>
      <c r="H1224" s="309"/>
      <c r="I1224" s="98" t="str">
        <f ca="1">IF(J1223&gt;=3,(MID(I1223,2,1)&amp;MID(I1223,4,4)-K1223),CELL("address",Z1224))</f>
        <v>G1225</v>
      </c>
      <c r="J1224" s="98" t="str">
        <f ca="1">IF(J1223&gt;=4,(MID(I1224,1,1)&amp;MID(I1224,2,4)+1),CELL("address",AA1224))</f>
        <v>$AA$1224</v>
      </c>
      <c r="K1224" s="98" t="str">
        <f ca="1">IF(J1223&gt;=5,(MID(J1224,1,1)&amp;MID(J1224,2,4)+1),CELL("address",AB1224))</f>
        <v>$AB$1224</v>
      </c>
      <c r="L1224" s="98" t="str">
        <f ca="1">IF(J1223&gt;=6,(MID(K1224,1,1)&amp;MID(K1224,2,4)+1),CELL("address",AC1224))</f>
        <v>$AC$1224</v>
      </c>
      <c r="M1224" s="98" t="str">
        <f ca="1">IF(J1223&gt;=7,(MID(L1224,1,1)&amp;MID(L1224,2,4)+1),CELL("address",AD1224))</f>
        <v>$AD$1224</v>
      </c>
      <c r="N1224" s="98" t="str">
        <f ca="1">IF(J1223&gt;=8,(MID(M1224,1,1)&amp;MID(M1224,2,4)+1),CELL("address",AE1224))</f>
        <v>$AE$1224</v>
      </c>
      <c r="O1224" s="98" t="str">
        <f ca="1">IF(J1223&gt;=9,(MID(N1224,1,1)&amp;MID(N1224,2,4)+1),CELL("address",AF1224))</f>
        <v>$AF$1224</v>
      </c>
      <c r="P1224" s="98" t="str">
        <f ca="1">IF(J1223&gt;=10,(MID(O1224,1,1)&amp;MID(O1224,2,4)+1),CELL("address",AG1224))</f>
        <v>$AG$1224</v>
      </c>
      <c r="Q1224" s="98" t="str">
        <f ca="1">IF(J1223&gt;=11,(MID(P1224,1,1)&amp;MID(P1224,2,4)+1),CELL("address",AH1224))</f>
        <v>$AH$1224</v>
      </c>
      <c r="R1224" s="98" t="str">
        <f ca="1">IF(J1223&gt;=12,(MID(Q1224,1,1)&amp;MID(Q1224,2,4)+1),CELL("address",AI1224))</f>
        <v>$AI$1224</v>
      </c>
    </row>
    <row r="1225" spans="1:8" ht="15" customHeight="1">
      <c r="A1225" s="1"/>
      <c r="B1225" s="1"/>
      <c r="C1225" s="1"/>
      <c r="D1225" s="1"/>
      <c r="E1225" s="1"/>
      <c r="H1225" s="1"/>
    </row>
    <row r="1226" spans="1:8" ht="15" customHeight="1">
      <c r="A1226" s="310"/>
      <c r="B1226" s="311"/>
      <c r="C1226" s="66"/>
      <c r="D1226" s="66"/>
      <c r="E1226" s="67">
        <f>SUM(E1228:E1229)</f>
        <v>0.20600000000000002</v>
      </c>
      <c r="H1226" s="1"/>
    </row>
    <row r="1227" spans="1:18" ht="15" customHeight="1">
      <c r="A1227" s="306" t="s">
        <v>5</v>
      </c>
      <c r="B1227" s="306"/>
      <c r="C1227" s="64" t="s">
        <v>17</v>
      </c>
      <c r="D1227" s="65" t="s">
        <v>18</v>
      </c>
      <c r="E1227" s="64" t="s">
        <v>7</v>
      </c>
      <c r="G1227" s="168" t="str">
        <f>CONCATENATE("Misc. Healthy parts/ Non Ferrous  Scrap, Lying at ",C1228,". Quantity in MT - ")</f>
        <v>Misc. Healthy parts/ Non Ferrous  Scrap, Lying at TRY Sangrur. Quantity in MT - </v>
      </c>
      <c r="H1227" s="309" t="str">
        <f ca="1">CONCATENATE(G1227,G1228,(INDIRECT(I1228)),(INDIRECT(J1228)),(INDIRECT(K1228)),(INDIRECT(L1228)),(INDIRECT(M1228)),(INDIRECT(N1228)),(INDIRECT(O1228)),(INDIRECT(P1228)),(INDIRECT(Q1228)),(INDIRECT(R1228)),".")</f>
        <v>Misc. Healthy parts/ Non Ferrous  Scrap, Lying at TRY Sangrur. Quantity in MT - Brass scrap - 0.189, Misc. Alumn. Scrap - 0.017, .</v>
      </c>
      <c r="I1227" s="98" t="str">
        <f aca="true" ca="1" t="array" ref="I1227">CELL("address",INDEX(G1227:G1242,MATCH(TRUE,ISBLANK(G1227:G1242),0)))</f>
        <v>$G$1230</v>
      </c>
      <c r="J1227" s="98">
        <f aca="true" t="array" ref="J1227">MATCH(TRUE,ISBLANK(G1227:G1242),0)</f>
        <v>4</v>
      </c>
      <c r="K1227" s="98">
        <f>J1227-3</f>
        <v>1</v>
      </c>
      <c r="L1227" s="98"/>
      <c r="M1227" s="98"/>
      <c r="N1227" s="98"/>
      <c r="O1227" s="98"/>
      <c r="P1227" s="98"/>
      <c r="Q1227" s="98"/>
      <c r="R1227" s="98"/>
    </row>
    <row r="1228" spans="1:18" ht="15" customHeight="1">
      <c r="A1228" s="306" t="s">
        <v>549</v>
      </c>
      <c r="B1228" s="306"/>
      <c r="C1228" s="308" t="s">
        <v>135</v>
      </c>
      <c r="D1228" s="45" t="s">
        <v>23</v>
      </c>
      <c r="E1228" s="47">
        <v>0.189</v>
      </c>
      <c r="G1228" s="101" t="str">
        <f>CONCATENATE(D1228," - ",E1228,", ")</f>
        <v>Brass scrap - 0.189, </v>
      </c>
      <c r="H1228" s="309"/>
      <c r="I1228" s="98" t="str">
        <f ca="1">IF(J1227&gt;=3,(MID(I1227,2,1)&amp;MID(I1227,4,4)-K1227),CELL("address",Z1228))</f>
        <v>G1229</v>
      </c>
      <c r="J1228" s="98" t="str">
        <f ca="1">IF(J1227&gt;=4,(MID(I1228,1,1)&amp;MID(I1228,2,4)+1),CELL("address",AA1228))</f>
        <v>G1230</v>
      </c>
      <c r="K1228" s="98" t="str">
        <f ca="1">IF(J1227&gt;=5,(MID(J1228,1,1)&amp;MID(J1228,2,4)+1),CELL("address",AB1228))</f>
        <v>$AB$1228</v>
      </c>
      <c r="L1228" s="98" t="str">
        <f ca="1">IF(J1227&gt;=6,(MID(K1228,1,1)&amp;MID(K1228,2,4)+1),CELL("address",AC1228))</f>
        <v>$AC$1228</v>
      </c>
      <c r="M1228" s="98" t="str">
        <f ca="1">IF(J1227&gt;=7,(MID(L1228,1,1)&amp;MID(L1228,2,4)+1),CELL("address",AD1228))</f>
        <v>$AD$1228</v>
      </c>
      <c r="N1228" s="98" t="str">
        <f ca="1">IF(J1227&gt;=8,(MID(M1228,1,1)&amp;MID(M1228,2,4)+1),CELL("address",AE1228))</f>
        <v>$AE$1228</v>
      </c>
      <c r="O1228" s="98" t="str">
        <f ca="1">IF(J1227&gt;=9,(MID(N1228,1,1)&amp;MID(N1228,2,4)+1),CELL("address",AF1228))</f>
        <v>$AF$1228</v>
      </c>
      <c r="P1228" s="98" t="str">
        <f ca="1">IF(J1227&gt;=10,(MID(O1228,1,1)&amp;MID(O1228,2,4)+1),CELL("address",AG1228))</f>
        <v>$AG$1228</v>
      </c>
      <c r="Q1228" s="98" t="str">
        <f ca="1">IF(J1227&gt;=11,(MID(P1228,1,1)&amp;MID(P1228,2,4)+1),CELL("address",AH1228))</f>
        <v>$AH$1228</v>
      </c>
      <c r="R1228" s="98" t="str">
        <f ca="1">IF(J1227&gt;=12,(MID(Q1228,1,1)&amp;MID(Q1228,2,4)+1),CELL("address",AI1228))</f>
        <v>$AI$1228</v>
      </c>
    </row>
    <row r="1229" spans="1:8" ht="15" customHeight="1">
      <c r="A1229" s="306"/>
      <c r="B1229" s="306"/>
      <c r="C1229" s="308"/>
      <c r="D1229" s="45" t="s">
        <v>31</v>
      </c>
      <c r="E1229" s="269">
        <v>0.017</v>
      </c>
      <c r="G1229" s="101" t="str">
        <f>CONCATENATE(D1229," - ",E1229,", ")</f>
        <v>Misc. Alumn. Scrap - 0.017, </v>
      </c>
      <c r="H1229" s="1"/>
    </row>
    <row r="1230" spans="1:8" ht="15" customHeight="1">
      <c r="A1230" s="1"/>
      <c r="B1230" s="1"/>
      <c r="C1230" s="1"/>
      <c r="D1230" s="1"/>
      <c r="E1230" s="1"/>
      <c r="H1230" s="1"/>
    </row>
    <row r="1231" spans="1:8" ht="15" customHeight="1">
      <c r="A1231" s="310"/>
      <c r="B1231" s="311"/>
      <c r="C1231" s="66"/>
      <c r="D1231" s="66"/>
      <c r="E1231" s="67">
        <f>SUM(E1233:E1235)</f>
        <v>0.20600000000000002</v>
      </c>
      <c r="H1231" s="1"/>
    </row>
    <row r="1232" spans="1:18" ht="15" customHeight="1">
      <c r="A1232" s="306" t="s">
        <v>5</v>
      </c>
      <c r="B1232" s="306"/>
      <c r="C1232" s="64" t="s">
        <v>17</v>
      </c>
      <c r="D1232" s="65" t="s">
        <v>18</v>
      </c>
      <c r="E1232" s="64" t="s">
        <v>7</v>
      </c>
      <c r="G1232" s="168" t="str">
        <f>CONCATENATE("Misc. Healthy parts/ Non Ferrous  Scrap, Lying at ",C1233,". Quantity in MT - ")</f>
        <v>Misc. Healthy parts/ Non Ferrous  Scrap, Lying at TRY Barnala. Quantity in MT - </v>
      </c>
      <c r="H1232" s="309" t="str">
        <f ca="1">CONCATENATE(G1232,G1233,(INDIRECT(I1233)),(INDIRECT(J1233)),(INDIRECT(K1233)),(INDIRECT(L1233)),(INDIRECT(M1233)),(INDIRECT(N1233)),(INDIRECT(O1233)),(INDIRECT(P1233)),(INDIRECT(Q1233)),(INDIRECT(R1233)),".")</f>
        <v>Misc. Healthy parts/ Non Ferrous  Scrap, Lying at TRY Barnala. Quantity in MT - Brass scrap - 0.177, Misc. Alumn. Scrap - 0.012, Iron scrap - 0.017, .</v>
      </c>
      <c r="I1232" s="98" t="str">
        <f aca="true" ca="1" t="array" ref="I1232">CELL("address",INDEX(G1232:G1247,MATCH(TRUE,ISBLANK(G1232:G1247),0)))</f>
        <v>$G$1236</v>
      </c>
      <c r="J1232" s="98">
        <f aca="true" t="array" ref="J1232">MATCH(TRUE,ISBLANK(G1232:G1247),0)</f>
        <v>5</v>
      </c>
      <c r="K1232" s="98">
        <f>J1232-3</f>
        <v>2</v>
      </c>
      <c r="L1232" s="98"/>
      <c r="M1232" s="98"/>
      <c r="N1232" s="98"/>
      <c r="O1232" s="98"/>
      <c r="P1232" s="98"/>
      <c r="Q1232" s="98"/>
      <c r="R1232" s="98"/>
    </row>
    <row r="1233" spans="1:18" ht="15" customHeight="1">
      <c r="A1233" s="306" t="s">
        <v>561</v>
      </c>
      <c r="B1233" s="306"/>
      <c r="C1233" s="308" t="s">
        <v>314</v>
      </c>
      <c r="D1233" s="45" t="s">
        <v>23</v>
      </c>
      <c r="E1233" s="47">
        <v>0.177</v>
      </c>
      <c r="G1233" s="101" t="str">
        <f>CONCATENATE(D1233," - ",E1233,", ")</f>
        <v>Brass scrap - 0.177, </v>
      </c>
      <c r="H1233" s="309"/>
      <c r="I1233" s="98" t="str">
        <f ca="1">IF(J1232&gt;=3,(MID(I1232,2,1)&amp;MID(I1232,4,4)-K1232),CELL("address",Z1233))</f>
        <v>G1234</v>
      </c>
      <c r="J1233" s="98" t="str">
        <f ca="1">IF(J1232&gt;=4,(MID(I1233,1,1)&amp;MID(I1233,2,4)+1),CELL("address",AA1233))</f>
        <v>G1235</v>
      </c>
      <c r="K1233" s="98" t="str">
        <f ca="1">IF(J1232&gt;=5,(MID(J1233,1,1)&amp;MID(J1233,2,4)+1),CELL("address",AB1233))</f>
        <v>G1236</v>
      </c>
      <c r="L1233" s="98" t="str">
        <f ca="1">IF(J1232&gt;=6,(MID(K1233,1,1)&amp;MID(K1233,2,4)+1),CELL("address",AC1233))</f>
        <v>$AC$1233</v>
      </c>
      <c r="M1233" s="98" t="str">
        <f ca="1">IF(J1232&gt;=7,(MID(L1233,1,1)&amp;MID(L1233,2,4)+1),CELL("address",AD1233))</f>
        <v>$AD$1233</v>
      </c>
      <c r="N1233" s="98" t="str">
        <f ca="1">IF(J1232&gt;=8,(MID(M1233,1,1)&amp;MID(M1233,2,4)+1),CELL("address",AE1233))</f>
        <v>$AE$1233</v>
      </c>
      <c r="O1233" s="98" t="str">
        <f ca="1">IF(J1232&gt;=9,(MID(N1233,1,1)&amp;MID(N1233,2,4)+1),CELL("address",AF1233))</f>
        <v>$AF$1233</v>
      </c>
      <c r="P1233" s="98" t="str">
        <f ca="1">IF(J1232&gt;=10,(MID(O1233,1,1)&amp;MID(O1233,2,4)+1),CELL("address",AG1233))</f>
        <v>$AG$1233</v>
      </c>
      <c r="Q1233" s="98" t="str">
        <f ca="1">IF(J1232&gt;=11,(MID(P1233,1,1)&amp;MID(P1233,2,4)+1),CELL("address",AH1233))</f>
        <v>$AH$1233</v>
      </c>
      <c r="R1233" s="98" t="str">
        <f ca="1">IF(J1232&gt;=12,(MID(Q1233,1,1)&amp;MID(Q1233,2,4)+1),CELL("address",AI1233))</f>
        <v>$AI$1233</v>
      </c>
    </row>
    <row r="1234" spans="1:8" ht="15" customHeight="1">
      <c r="A1234" s="306"/>
      <c r="B1234" s="306"/>
      <c r="C1234" s="308"/>
      <c r="D1234" s="45" t="s">
        <v>31</v>
      </c>
      <c r="E1234" s="269">
        <v>0.012</v>
      </c>
      <c r="G1234" s="101" t="str">
        <f>CONCATENATE(D1234," - ",E1234,", ")</f>
        <v>Misc. Alumn. Scrap - 0.012, </v>
      </c>
      <c r="H1234" s="1"/>
    </row>
    <row r="1235" spans="1:8" ht="15" customHeight="1">
      <c r="A1235" s="306"/>
      <c r="B1235" s="306"/>
      <c r="C1235" s="308"/>
      <c r="D1235" s="40" t="s">
        <v>27</v>
      </c>
      <c r="E1235" s="269">
        <v>0.017</v>
      </c>
      <c r="G1235" s="101" t="str">
        <f>CONCATENATE(D1235," - ",E1235,", ")</f>
        <v>Iron scrap - 0.017, </v>
      </c>
      <c r="H1235" s="1"/>
    </row>
    <row r="1236" spans="1:8" ht="15" customHeight="1">
      <c r="A1236" s="1"/>
      <c r="B1236" s="1"/>
      <c r="C1236" s="1"/>
      <c r="D1236" s="1"/>
      <c r="E1236" s="1"/>
      <c r="H1236" s="1"/>
    </row>
    <row r="1237" spans="1:8" ht="15" customHeight="1">
      <c r="A1237" s="1"/>
      <c r="B1237" s="1"/>
      <c r="C1237" s="1"/>
      <c r="D1237" s="1"/>
      <c r="E1237" s="1"/>
      <c r="H1237" s="1"/>
    </row>
    <row r="1238" spans="1:8" ht="15" customHeight="1">
      <c r="A1238" s="1"/>
      <c r="B1238" s="1"/>
      <c r="C1238" s="1"/>
      <c r="D1238" s="1"/>
      <c r="E1238" s="1"/>
      <c r="H1238" s="1"/>
    </row>
    <row r="1239" spans="1:8" ht="15" customHeight="1">
      <c r="A1239" s="1"/>
      <c r="B1239" s="1"/>
      <c r="C1239" s="1"/>
      <c r="D1239" s="1"/>
      <c r="E1239" s="1"/>
      <c r="H1239" s="1"/>
    </row>
    <row r="1240" spans="1:8" ht="15" customHeight="1">
      <c r="A1240" s="1"/>
      <c r="B1240" s="1"/>
      <c r="C1240" s="1"/>
      <c r="D1240" s="1"/>
      <c r="E1240" s="1"/>
      <c r="H1240" s="1"/>
    </row>
    <row r="1241" spans="1:8" ht="15" customHeight="1">
      <c r="A1241" s="1"/>
      <c r="B1241" s="1"/>
      <c r="C1241" s="1"/>
      <c r="D1241" s="1"/>
      <c r="E1241" s="1"/>
      <c r="H1241" s="1"/>
    </row>
    <row r="1242" spans="1:8" ht="15" customHeight="1">
      <c r="A1242" s="1"/>
      <c r="B1242" s="1"/>
      <c r="C1242" s="1"/>
      <c r="D1242" s="1"/>
      <c r="E1242" s="1"/>
      <c r="H1242" s="1"/>
    </row>
    <row r="1243" spans="1:8" ht="13.5" customHeight="1">
      <c r="A1243" s="1"/>
      <c r="B1243" s="1"/>
      <c r="C1243" s="1"/>
      <c r="D1243" s="1"/>
      <c r="E1243" s="1"/>
      <c r="H1243" s="1"/>
    </row>
    <row r="1244" spans="1:8" ht="13.5" customHeight="1">
      <c r="A1244" s="1"/>
      <c r="B1244" s="1"/>
      <c r="C1244" s="1"/>
      <c r="D1244" s="1"/>
      <c r="E1244" s="1"/>
      <c r="H1244" s="1"/>
    </row>
    <row r="1245" spans="1:8" ht="15" customHeight="1">
      <c r="A1245" s="1"/>
      <c r="B1245" s="1"/>
      <c r="C1245" s="1"/>
      <c r="D1245" s="1"/>
      <c r="E1245" s="1"/>
      <c r="H1245" s="1"/>
    </row>
    <row r="1246" spans="1:8" ht="15" customHeight="1">
      <c r="A1246" s="1"/>
      <c r="B1246" s="1"/>
      <c r="C1246" s="1"/>
      <c r="D1246" s="1"/>
      <c r="E1246" s="1"/>
      <c r="H1246" s="1"/>
    </row>
    <row r="1247" spans="1:8" ht="15" customHeight="1">
      <c r="A1247" s="1"/>
      <c r="B1247" s="1"/>
      <c r="C1247" s="1"/>
      <c r="D1247" s="1"/>
      <c r="E1247" s="1"/>
      <c r="H1247" s="1"/>
    </row>
    <row r="1248" spans="1:8" ht="15" customHeight="1">
      <c r="A1248" s="1"/>
      <c r="B1248" s="1"/>
      <c r="C1248" s="1"/>
      <c r="D1248" s="1"/>
      <c r="E1248" s="1"/>
      <c r="H1248" s="1"/>
    </row>
    <row r="1249" spans="1:8" ht="15" customHeight="1">
      <c r="A1249" s="1"/>
      <c r="B1249" s="1"/>
      <c r="C1249" s="1"/>
      <c r="D1249" s="1"/>
      <c r="E1249" s="1"/>
      <c r="H1249" s="1"/>
    </row>
    <row r="1250" spans="1:8" ht="16.5" customHeight="1">
      <c r="A1250" s="1"/>
      <c r="B1250" s="1"/>
      <c r="C1250" s="1"/>
      <c r="D1250" s="1"/>
      <c r="E1250" s="1"/>
      <c r="H1250" s="1"/>
    </row>
    <row r="1251" spans="1:8" ht="16.5" customHeight="1">
      <c r="A1251" s="1"/>
      <c r="B1251" s="1"/>
      <c r="C1251" s="1"/>
      <c r="D1251" s="1"/>
      <c r="E1251" s="1"/>
      <c r="H1251" s="1"/>
    </row>
    <row r="1252" spans="1:8" ht="16.5" customHeight="1">
      <c r="A1252" s="1"/>
      <c r="B1252" s="1"/>
      <c r="C1252" s="1"/>
      <c r="D1252" s="1"/>
      <c r="E1252" s="1"/>
      <c r="H1252" s="1"/>
    </row>
    <row r="1253" spans="1:8" ht="16.5" customHeight="1">
      <c r="A1253" s="1"/>
      <c r="B1253" s="1"/>
      <c r="C1253" s="1"/>
      <c r="D1253" s="1"/>
      <c r="E1253" s="1"/>
      <c r="H1253" s="1"/>
    </row>
    <row r="1254" spans="1:8" ht="16.5" customHeight="1">
      <c r="A1254" s="1"/>
      <c r="B1254" s="1"/>
      <c r="C1254" s="1"/>
      <c r="D1254" s="1"/>
      <c r="E1254" s="1"/>
      <c r="H1254" s="1"/>
    </row>
    <row r="1255" spans="1:8" ht="16.5" customHeight="1">
      <c r="A1255" s="1"/>
      <c r="B1255" s="1"/>
      <c r="C1255" s="1"/>
      <c r="D1255" s="1"/>
      <c r="E1255" s="1"/>
      <c r="H1255" s="1"/>
    </row>
    <row r="1256" spans="1:8" ht="16.5" customHeight="1">
      <c r="A1256" s="1"/>
      <c r="B1256" s="1"/>
      <c r="C1256" s="1"/>
      <c r="D1256" s="1"/>
      <c r="E1256" s="1"/>
      <c r="H1256" s="1"/>
    </row>
    <row r="1257" spans="1:8" ht="15" customHeight="1">
      <c r="A1257" s="1"/>
      <c r="B1257" s="1"/>
      <c r="C1257" s="1"/>
      <c r="D1257" s="1"/>
      <c r="E1257" s="1"/>
      <c r="H1257" s="1"/>
    </row>
    <row r="1258" spans="1:8" ht="15" customHeight="1">
      <c r="A1258" s="1"/>
      <c r="B1258" s="1"/>
      <c r="C1258" s="1"/>
      <c r="D1258" s="1"/>
      <c r="E1258" s="1"/>
      <c r="H1258" s="1"/>
    </row>
    <row r="1259" spans="1:8" ht="15" customHeight="1">
      <c r="A1259" s="1"/>
      <c r="B1259" s="1"/>
      <c r="C1259" s="1"/>
      <c r="D1259" s="1"/>
      <c r="E1259" s="1"/>
      <c r="H1259" s="1"/>
    </row>
    <row r="1260" spans="1:8" ht="14.25" customHeight="1">
      <c r="A1260" s="1"/>
      <c r="B1260" s="1"/>
      <c r="C1260" s="1"/>
      <c r="D1260" s="1"/>
      <c r="E1260" s="1"/>
      <c r="H1260" s="1"/>
    </row>
    <row r="1261" spans="1:8" ht="14.25" customHeight="1">
      <c r="A1261" s="1"/>
      <c r="B1261" s="1"/>
      <c r="C1261" s="1"/>
      <c r="D1261" s="1"/>
      <c r="E1261" s="1"/>
      <c r="H1261" s="1"/>
    </row>
    <row r="1262" spans="1:8" ht="14.25" customHeight="1">
      <c r="A1262" s="1"/>
      <c r="B1262" s="1"/>
      <c r="C1262" s="1"/>
      <c r="D1262" s="1"/>
      <c r="E1262" s="1"/>
      <c r="H1262" s="1"/>
    </row>
    <row r="1263" spans="1:8" ht="14.25" customHeight="1">
      <c r="A1263" s="1"/>
      <c r="B1263" s="1"/>
      <c r="C1263" s="1"/>
      <c r="D1263" s="1"/>
      <c r="E1263" s="1"/>
      <c r="H1263" s="1"/>
    </row>
    <row r="1264" spans="1:8" ht="14.25" customHeight="1">
      <c r="A1264" s="1"/>
      <c r="B1264" s="1"/>
      <c r="C1264" s="1"/>
      <c r="D1264" s="1"/>
      <c r="E1264" s="1"/>
      <c r="H1264" s="1"/>
    </row>
    <row r="1265" spans="1:8" ht="14.25" customHeight="1">
      <c r="A1265" s="1"/>
      <c r="B1265" s="1"/>
      <c r="C1265" s="1"/>
      <c r="D1265" s="1"/>
      <c r="E1265" s="1"/>
      <c r="H1265" s="1"/>
    </row>
    <row r="1266" spans="1:8" ht="14.25" customHeight="1">
      <c r="A1266" s="1"/>
      <c r="B1266" s="1"/>
      <c r="C1266" s="1"/>
      <c r="D1266" s="1"/>
      <c r="E1266" s="1"/>
      <c r="H1266" s="1"/>
    </row>
    <row r="1267" spans="1:8" ht="14.25" customHeight="1">
      <c r="A1267" s="1"/>
      <c r="B1267" s="1"/>
      <c r="C1267" s="1"/>
      <c r="D1267" s="1"/>
      <c r="E1267" s="1"/>
      <c r="H1267" s="1"/>
    </row>
    <row r="1268" spans="1:8" ht="14.25" customHeight="1">
      <c r="A1268" s="1"/>
      <c r="B1268" s="1"/>
      <c r="C1268" s="1"/>
      <c r="D1268" s="1"/>
      <c r="E1268" s="1"/>
      <c r="H1268" s="1"/>
    </row>
    <row r="1269" spans="1:8" ht="14.25" customHeight="1">
      <c r="A1269" s="1"/>
      <c r="B1269" s="1"/>
      <c r="C1269" s="1"/>
      <c r="D1269" s="1"/>
      <c r="E1269" s="1"/>
      <c r="H1269" s="1"/>
    </row>
    <row r="1270" spans="1:8" ht="14.25" customHeight="1">
      <c r="A1270" s="1"/>
      <c r="B1270" s="1"/>
      <c r="C1270" s="1"/>
      <c r="D1270" s="1"/>
      <c r="E1270" s="1"/>
      <c r="H1270" s="1"/>
    </row>
    <row r="1271" spans="1:8" ht="14.25" customHeight="1">
      <c r="A1271" s="1"/>
      <c r="B1271" s="1"/>
      <c r="C1271" s="1"/>
      <c r="D1271" s="1"/>
      <c r="E1271" s="1"/>
      <c r="H1271" s="1"/>
    </row>
    <row r="1272" spans="1:8" ht="14.25" customHeight="1">
      <c r="A1272" s="1"/>
      <c r="B1272" s="1"/>
      <c r="C1272" s="1"/>
      <c r="D1272" s="1"/>
      <c r="E1272" s="1"/>
      <c r="H1272" s="1"/>
    </row>
    <row r="1273" spans="1:8" ht="14.25" customHeight="1">
      <c r="A1273" s="1"/>
      <c r="B1273" s="1"/>
      <c r="C1273" s="1"/>
      <c r="D1273" s="1"/>
      <c r="E1273" s="1"/>
      <c r="H1273" s="1"/>
    </row>
    <row r="1274" spans="1:8" ht="14.25" customHeight="1">
      <c r="A1274" s="1"/>
      <c r="B1274" s="1"/>
      <c r="C1274" s="1"/>
      <c r="D1274" s="1"/>
      <c r="E1274" s="1"/>
      <c r="H1274" s="1"/>
    </row>
    <row r="1275" spans="1:8" ht="14.25" customHeight="1">
      <c r="A1275" s="1"/>
      <c r="B1275" s="1"/>
      <c r="C1275" s="1"/>
      <c r="D1275" s="1"/>
      <c r="E1275" s="1"/>
      <c r="H1275" s="1"/>
    </row>
    <row r="1276" spans="1:8" ht="14.25" customHeight="1">
      <c r="A1276" s="1"/>
      <c r="B1276" s="1"/>
      <c r="C1276" s="1"/>
      <c r="D1276" s="1"/>
      <c r="E1276" s="1"/>
      <c r="H1276" s="1"/>
    </row>
    <row r="1277" spans="1:8" ht="14.25" customHeight="1">
      <c r="A1277" s="1"/>
      <c r="B1277" s="1"/>
      <c r="C1277" s="1"/>
      <c r="D1277" s="1"/>
      <c r="E1277" s="1"/>
      <c r="H1277" s="1"/>
    </row>
    <row r="1278" spans="1:8" ht="14.25" customHeight="1">
      <c r="A1278" s="1"/>
      <c r="B1278" s="1"/>
      <c r="C1278" s="1"/>
      <c r="D1278" s="1"/>
      <c r="E1278" s="1"/>
      <c r="H1278" s="1"/>
    </row>
    <row r="1279" spans="1:8" ht="14.25" customHeight="1">
      <c r="A1279" s="1"/>
      <c r="B1279" s="1"/>
      <c r="C1279" s="1"/>
      <c r="D1279" s="1"/>
      <c r="E1279" s="1"/>
      <c r="H1279" s="1"/>
    </row>
    <row r="1280" spans="1:8" ht="14.25" customHeight="1">
      <c r="A1280" s="1"/>
      <c r="B1280" s="1"/>
      <c r="C1280" s="1"/>
      <c r="D1280" s="1"/>
      <c r="E1280" s="1"/>
      <c r="H1280" s="1"/>
    </row>
    <row r="1281" spans="1:8" ht="14.25" customHeight="1">
      <c r="A1281" s="1"/>
      <c r="B1281" s="1"/>
      <c r="C1281" s="1"/>
      <c r="D1281" s="1"/>
      <c r="E1281" s="1"/>
      <c r="H1281" s="1"/>
    </row>
    <row r="1282" spans="1:8" ht="14.25" customHeight="1">
      <c r="A1282" s="1"/>
      <c r="B1282" s="1"/>
      <c r="C1282" s="1"/>
      <c r="D1282" s="1"/>
      <c r="E1282" s="1"/>
      <c r="H1282" s="1"/>
    </row>
    <row r="1283" spans="1:8" ht="14.25" customHeight="1">
      <c r="A1283" s="1"/>
      <c r="B1283" s="1"/>
      <c r="C1283" s="1"/>
      <c r="D1283" s="1"/>
      <c r="E1283" s="1"/>
      <c r="H1283" s="1"/>
    </row>
    <row r="1284" spans="1:8" ht="14.25" customHeight="1">
      <c r="A1284" s="1"/>
      <c r="B1284" s="1"/>
      <c r="C1284" s="1"/>
      <c r="D1284" s="1"/>
      <c r="E1284" s="1"/>
      <c r="H1284" s="1"/>
    </row>
    <row r="1285" spans="1:8" ht="14.25" customHeight="1">
      <c r="A1285" s="1"/>
      <c r="B1285" s="1"/>
      <c r="C1285" s="1"/>
      <c r="D1285" s="1"/>
      <c r="E1285" s="1"/>
      <c r="H1285" s="1"/>
    </row>
    <row r="1286" spans="1:8" ht="14.25" customHeight="1">
      <c r="A1286" s="1"/>
      <c r="B1286" s="1"/>
      <c r="C1286" s="1"/>
      <c r="D1286" s="1"/>
      <c r="E1286" s="1"/>
      <c r="H1286" s="1"/>
    </row>
    <row r="1287" spans="1:8" ht="14.25" customHeight="1">
      <c r="A1287" s="1"/>
      <c r="B1287" s="1"/>
      <c r="C1287" s="1"/>
      <c r="D1287" s="1"/>
      <c r="E1287" s="1"/>
      <c r="H1287" s="1"/>
    </row>
    <row r="1288" spans="1:8" ht="14.25" customHeight="1">
      <c r="A1288" s="1"/>
      <c r="B1288" s="1"/>
      <c r="C1288" s="1"/>
      <c r="D1288" s="1"/>
      <c r="E1288" s="1"/>
      <c r="H1288" s="1"/>
    </row>
    <row r="1289" spans="1:8" ht="14.25" customHeight="1">
      <c r="A1289" s="1"/>
      <c r="B1289" s="1"/>
      <c r="C1289" s="1"/>
      <c r="D1289" s="1"/>
      <c r="E1289" s="1"/>
      <c r="H1289" s="1"/>
    </row>
    <row r="1290" spans="1:8" ht="14.25" customHeight="1">
      <c r="A1290" s="1"/>
      <c r="B1290" s="1"/>
      <c r="C1290" s="1"/>
      <c r="D1290" s="1"/>
      <c r="E1290" s="1"/>
      <c r="H1290" s="1"/>
    </row>
    <row r="1291" spans="1:8" ht="14.25" customHeight="1">
      <c r="A1291" s="1"/>
      <c r="B1291" s="1"/>
      <c r="C1291" s="1"/>
      <c r="D1291" s="1"/>
      <c r="E1291" s="1"/>
      <c r="H1291" s="1"/>
    </row>
    <row r="1292" spans="1:8" ht="14.25" customHeight="1">
      <c r="A1292" s="1"/>
      <c r="B1292" s="1"/>
      <c r="C1292" s="1"/>
      <c r="D1292" s="1"/>
      <c r="E1292" s="1"/>
      <c r="H1292" s="1"/>
    </row>
    <row r="1293" spans="1:8" ht="14.25" customHeight="1">
      <c r="A1293" s="1"/>
      <c r="B1293" s="1"/>
      <c r="C1293" s="1"/>
      <c r="D1293" s="1"/>
      <c r="E1293" s="1"/>
      <c r="H1293" s="1"/>
    </row>
    <row r="1294" spans="1:8" ht="14.25" customHeight="1">
      <c r="A1294" s="1"/>
      <c r="B1294" s="1"/>
      <c r="C1294" s="1"/>
      <c r="D1294" s="1"/>
      <c r="E1294" s="1"/>
      <c r="H1294" s="1"/>
    </row>
    <row r="1295" spans="1:8" ht="14.25" customHeight="1">
      <c r="A1295" s="1"/>
      <c r="B1295" s="1"/>
      <c r="C1295" s="1"/>
      <c r="D1295" s="1"/>
      <c r="E1295" s="1"/>
      <c r="H1295" s="1"/>
    </row>
    <row r="1296" spans="1:8" ht="14.25" customHeight="1">
      <c r="A1296" s="1"/>
      <c r="B1296" s="1"/>
      <c r="C1296" s="1"/>
      <c r="D1296" s="1"/>
      <c r="E1296" s="1"/>
      <c r="H1296" s="1"/>
    </row>
    <row r="1297" spans="1:8" ht="14.25" customHeight="1">
      <c r="A1297" s="1"/>
      <c r="B1297" s="1"/>
      <c r="C1297" s="1"/>
      <c r="D1297" s="1"/>
      <c r="E1297" s="1"/>
      <c r="H1297" s="1"/>
    </row>
    <row r="1298" spans="1:8" ht="14.25" customHeight="1">
      <c r="A1298" s="1"/>
      <c r="B1298" s="1"/>
      <c r="C1298" s="1"/>
      <c r="D1298" s="1"/>
      <c r="E1298" s="1"/>
      <c r="H1298" s="1"/>
    </row>
    <row r="1299" spans="1:8" ht="14.25" customHeight="1">
      <c r="A1299" s="1"/>
      <c r="B1299" s="1"/>
      <c r="C1299" s="1"/>
      <c r="D1299" s="1"/>
      <c r="E1299" s="1"/>
      <c r="H1299" s="1"/>
    </row>
    <row r="1300" spans="1:8" ht="14.25" customHeight="1">
      <c r="A1300" s="1"/>
      <c r="B1300" s="1"/>
      <c r="C1300" s="1"/>
      <c r="D1300" s="1"/>
      <c r="E1300" s="1"/>
      <c r="H1300" s="1"/>
    </row>
    <row r="1301" spans="1:8" ht="14.25" customHeight="1">
      <c r="A1301" s="1"/>
      <c r="B1301" s="1"/>
      <c r="C1301" s="1"/>
      <c r="D1301" s="1"/>
      <c r="E1301" s="1"/>
      <c r="H1301" s="1"/>
    </row>
    <row r="1302" spans="1:8" ht="14.25" customHeight="1">
      <c r="A1302" s="1"/>
      <c r="B1302" s="1"/>
      <c r="C1302" s="1"/>
      <c r="D1302" s="1"/>
      <c r="E1302" s="1"/>
      <c r="H1302" s="1"/>
    </row>
    <row r="1303" spans="1:8" ht="14.25" customHeight="1">
      <c r="A1303" s="1"/>
      <c r="B1303" s="1"/>
      <c r="C1303" s="1"/>
      <c r="D1303" s="1"/>
      <c r="E1303" s="1"/>
      <c r="H1303" s="1"/>
    </row>
    <row r="1304" spans="1:8" ht="14.25" customHeight="1">
      <c r="A1304" s="1"/>
      <c r="B1304" s="1"/>
      <c r="C1304" s="1"/>
      <c r="D1304" s="1"/>
      <c r="E1304" s="1"/>
      <c r="H1304" s="1"/>
    </row>
    <row r="1305" spans="1:8" ht="14.25" customHeight="1">
      <c r="A1305" s="1"/>
      <c r="B1305" s="1"/>
      <c r="C1305" s="1"/>
      <c r="D1305" s="1"/>
      <c r="E1305" s="1"/>
      <c r="H1305" s="1"/>
    </row>
    <row r="1306" spans="1:8" ht="14.25" customHeight="1">
      <c r="A1306" s="1"/>
      <c r="B1306" s="1"/>
      <c r="C1306" s="1"/>
      <c r="D1306" s="1"/>
      <c r="E1306" s="1"/>
      <c r="H1306" s="1"/>
    </row>
    <row r="1307" spans="1:8" ht="14.25" customHeight="1">
      <c r="A1307" s="1"/>
      <c r="B1307" s="1"/>
      <c r="C1307" s="1"/>
      <c r="D1307" s="1"/>
      <c r="E1307" s="1"/>
      <c r="H1307" s="1"/>
    </row>
    <row r="1308" spans="1:8" ht="14.25" customHeight="1">
      <c r="A1308" s="1"/>
      <c r="B1308" s="1"/>
      <c r="C1308" s="1"/>
      <c r="D1308" s="1"/>
      <c r="E1308" s="1"/>
      <c r="H1308" s="1"/>
    </row>
    <row r="1309" spans="1:8" ht="14.25" customHeight="1">
      <c r="A1309" s="1"/>
      <c r="B1309" s="1"/>
      <c r="C1309" s="1"/>
      <c r="D1309" s="1"/>
      <c r="E1309" s="1"/>
      <c r="H1309" s="1"/>
    </row>
    <row r="1310" spans="1:8" ht="14.25" customHeight="1">
      <c r="A1310" s="1"/>
      <c r="B1310" s="1"/>
      <c r="C1310" s="1"/>
      <c r="D1310" s="1"/>
      <c r="E1310" s="1"/>
      <c r="H1310" s="1"/>
    </row>
    <row r="1311" spans="1:8" ht="14.25" customHeight="1">
      <c r="A1311" s="1"/>
      <c r="B1311" s="1"/>
      <c r="C1311" s="1"/>
      <c r="D1311" s="1"/>
      <c r="E1311" s="1"/>
      <c r="H1311" s="1"/>
    </row>
    <row r="1312" spans="1:5" ht="14.25" customHeight="1">
      <c r="A1312" s="1"/>
      <c r="B1312" s="1"/>
      <c r="C1312" s="1"/>
      <c r="D1312" s="1"/>
      <c r="E1312" s="1"/>
    </row>
    <row r="1313" spans="1:5" ht="14.25" customHeight="1">
      <c r="A1313" s="1"/>
      <c r="B1313" s="1"/>
      <c r="C1313" s="1"/>
      <c r="D1313" s="1"/>
      <c r="E1313" s="1"/>
    </row>
    <row r="1314" spans="1:5" ht="14.25" customHeight="1">
      <c r="A1314" s="1"/>
      <c r="B1314" s="1"/>
      <c r="C1314" s="1"/>
      <c r="D1314" s="1"/>
      <c r="E1314" s="1"/>
    </row>
    <row r="1315" spans="1:5" ht="14.25" customHeight="1">
      <c r="A1315" s="1"/>
      <c r="B1315" s="1"/>
      <c r="C1315" s="1"/>
      <c r="D1315" s="1"/>
      <c r="E1315" s="1"/>
    </row>
    <row r="1316" spans="1:5" ht="14.25" customHeight="1">
      <c r="A1316" s="1"/>
      <c r="B1316" s="1"/>
      <c r="C1316" s="1"/>
      <c r="D1316" s="1"/>
      <c r="E1316" s="1"/>
    </row>
    <row r="1317" spans="1:5" ht="14.25" customHeight="1">
      <c r="A1317" s="1"/>
      <c r="B1317" s="1"/>
      <c r="C1317" s="1"/>
      <c r="D1317" s="1"/>
      <c r="E1317" s="1"/>
    </row>
    <row r="1318" ht="14.25" customHeight="1"/>
    <row r="1319" ht="14.25" customHeight="1"/>
    <row r="1320" ht="14.25" customHeight="1"/>
    <row r="1321" ht="14.25" customHeight="1"/>
    <row r="1322" ht="19.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</sheetData>
  <sheetProtection/>
  <mergeCells count="655">
    <mergeCell ref="A558:C558"/>
    <mergeCell ref="A639:E639"/>
    <mergeCell ref="A641:C641"/>
    <mergeCell ref="A646:C646"/>
    <mergeCell ref="A567:C567"/>
    <mergeCell ref="A591:E591"/>
    <mergeCell ref="A593:C593"/>
    <mergeCell ref="A624:C624"/>
    <mergeCell ref="A629:C629"/>
    <mergeCell ref="C53:D53"/>
    <mergeCell ref="A53:B53"/>
    <mergeCell ref="A489:C489"/>
    <mergeCell ref="A494:C494"/>
    <mergeCell ref="A502:C502"/>
    <mergeCell ref="A553:E553"/>
    <mergeCell ref="A461:C461"/>
    <mergeCell ref="A469:E469"/>
    <mergeCell ref="A166:E166"/>
    <mergeCell ref="A1217:B1217"/>
    <mergeCell ref="B671:C671"/>
    <mergeCell ref="A875:B879"/>
    <mergeCell ref="C1098:C1102"/>
    <mergeCell ref="A1186:B1186"/>
    <mergeCell ref="A527:C527"/>
    <mergeCell ref="A531:C531"/>
    <mergeCell ref="C1218:C1220"/>
    <mergeCell ref="A1218:B1220"/>
    <mergeCell ref="A1174:B1174"/>
    <mergeCell ref="A1176:B1177"/>
    <mergeCell ref="A1167:B1167"/>
    <mergeCell ref="A475:C475"/>
    <mergeCell ref="A487:E487"/>
    <mergeCell ref="A538:E538"/>
    <mergeCell ref="A540:C540"/>
    <mergeCell ref="A544:C544"/>
    <mergeCell ref="H1217:H1218"/>
    <mergeCell ref="A92:C92"/>
    <mergeCell ref="A249:E249"/>
    <mergeCell ref="C1198:C1200"/>
    <mergeCell ref="A752:A757"/>
    <mergeCell ref="A1198:B1200"/>
    <mergeCell ref="A482:C482"/>
    <mergeCell ref="A1216:B1216"/>
    <mergeCell ref="C1176:C1177"/>
    <mergeCell ref="A1179:B1179"/>
    <mergeCell ref="A96:C96"/>
    <mergeCell ref="A1068:B1068"/>
    <mergeCell ref="C1077:C1084"/>
    <mergeCell ref="A409:E409"/>
    <mergeCell ref="A894:B894"/>
    <mergeCell ref="C903:C906"/>
    <mergeCell ref="A851:B851"/>
    <mergeCell ref="A951:B951"/>
    <mergeCell ref="A896:B899"/>
    <mergeCell ref="A959:B959"/>
    <mergeCell ref="A856:B857"/>
    <mergeCell ref="B722:C722"/>
    <mergeCell ref="C1106:C1107"/>
    <mergeCell ref="C959:D959"/>
    <mergeCell ref="C48:D48"/>
    <mergeCell ref="A271:C271"/>
    <mergeCell ref="A50:B50"/>
    <mergeCell ref="C50:D50"/>
    <mergeCell ref="A119:C119"/>
    <mergeCell ref="A78:C78"/>
    <mergeCell ref="A254:C254"/>
    <mergeCell ref="A220:C220"/>
    <mergeCell ref="A251:C251"/>
    <mergeCell ref="A1140:B1140"/>
    <mergeCell ref="A1164:B1164"/>
    <mergeCell ref="A852:B852"/>
    <mergeCell ref="A855:B855"/>
    <mergeCell ref="A1077:B1084"/>
    <mergeCell ref="A1114:B1114"/>
    <mergeCell ref="A859:B859"/>
    <mergeCell ref="C1181:C1184"/>
    <mergeCell ref="A1181:B1184"/>
    <mergeCell ref="A1180:B1180"/>
    <mergeCell ref="A971:B971"/>
    <mergeCell ref="C968:D968"/>
    <mergeCell ref="A1175:B1175"/>
    <mergeCell ref="A1148:B1148"/>
    <mergeCell ref="A1149:B1152"/>
    <mergeCell ref="A1166:B1166"/>
    <mergeCell ref="C1149:C1152"/>
    <mergeCell ref="A1146:B1146"/>
    <mergeCell ref="A1163:B1163"/>
    <mergeCell ref="C1116:C1121"/>
    <mergeCell ref="H916:H917"/>
    <mergeCell ref="A445:E445"/>
    <mergeCell ref="H874:H875"/>
    <mergeCell ref="H860:H861"/>
    <mergeCell ref="H820:H821"/>
    <mergeCell ref="B737:C737"/>
    <mergeCell ref="A507:E507"/>
    <mergeCell ref="A342:C342"/>
    <mergeCell ref="A723:A726"/>
    <mergeCell ref="A1093:B1094"/>
    <mergeCell ref="A447:C447"/>
    <mergeCell ref="C910:C913"/>
    <mergeCell ref="A860:B860"/>
    <mergeCell ref="A903:B906"/>
    <mergeCell ref="A858:B858"/>
    <mergeCell ref="A936:B939"/>
    <mergeCell ref="A952:B952"/>
    <mergeCell ref="A967:B967"/>
    <mergeCell ref="C966:D966"/>
    <mergeCell ref="C1088:C1089"/>
    <mergeCell ref="A1075:B1075"/>
    <mergeCell ref="A977:B977"/>
    <mergeCell ref="C975:D975"/>
    <mergeCell ref="A1036:B1036"/>
    <mergeCell ref="C1029:C1034"/>
    <mergeCell ref="A360:C360"/>
    <mergeCell ref="C869:C871"/>
    <mergeCell ref="A841:B843"/>
    <mergeCell ref="A846:B846"/>
    <mergeCell ref="A555:C555"/>
    <mergeCell ref="A794:B795"/>
    <mergeCell ref="A509:C509"/>
    <mergeCell ref="A512:C512"/>
    <mergeCell ref="A520:C520"/>
    <mergeCell ref="B707:C707"/>
    <mergeCell ref="A347:C347"/>
    <mergeCell ref="C1156:C1160"/>
    <mergeCell ref="B716:C716"/>
    <mergeCell ref="B693:C693"/>
    <mergeCell ref="C971:D971"/>
    <mergeCell ref="C923:C924"/>
    <mergeCell ref="B773:C773"/>
    <mergeCell ref="B752:C757"/>
    <mergeCell ref="A655:C655"/>
    <mergeCell ref="B751:C751"/>
    <mergeCell ref="A81:C81"/>
    <mergeCell ref="A104:E104"/>
    <mergeCell ref="A139:E139"/>
    <mergeCell ref="A117:E117"/>
    <mergeCell ref="A141:C141"/>
    <mergeCell ref="A1105:B1105"/>
    <mergeCell ref="C970:D970"/>
    <mergeCell ref="A962:B962"/>
    <mergeCell ref="A970:B970"/>
    <mergeCell ref="A882:B882"/>
    <mergeCell ref="A110:C110"/>
    <mergeCell ref="H700:H701"/>
    <mergeCell ref="A730:A734"/>
    <mergeCell ref="B730:C734"/>
    <mergeCell ref="B665:C668"/>
    <mergeCell ref="A665:A668"/>
    <mergeCell ref="B723:C726"/>
    <mergeCell ref="A125:E125"/>
    <mergeCell ref="A127:C127"/>
    <mergeCell ref="A132:C132"/>
    <mergeCell ref="B745:C748"/>
    <mergeCell ref="A793:B793"/>
    <mergeCell ref="A789:B790"/>
    <mergeCell ref="A761:A764"/>
    <mergeCell ref="A788:B788"/>
    <mergeCell ref="C841:C843"/>
    <mergeCell ref="B767:C767"/>
    <mergeCell ref="A818:B818"/>
    <mergeCell ref="C808:C810"/>
    <mergeCell ref="A799:B799"/>
    <mergeCell ref="B774:C777"/>
    <mergeCell ref="A834:B834"/>
    <mergeCell ref="A812:B812"/>
    <mergeCell ref="B768:C770"/>
    <mergeCell ref="A821:B821"/>
    <mergeCell ref="A807:B807"/>
    <mergeCell ref="A798:B798"/>
    <mergeCell ref="Q1019:T1019"/>
    <mergeCell ref="H855:H856"/>
    <mergeCell ref="H868:H869"/>
    <mergeCell ref="C896:C899"/>
    <mergeCell ref="H851:H852"/>
    <mergeCell ref="Q809:U810"/>
    <mergeCell ref="H927:H928"/>
    <mergeCell ref="H935:H936"/>
    <mergeCell ref="B992:C992"/>
    <mergeCell ref="B985:C985"/>
    <mergeCell ref="A813:B813"/>
    <mergeCell ref="C814:C817"/>
    <mergeCell ref="A814:B817"/>
    <mergeCell ref="A964:B964"/>
    <mergeCell ref="A958:E958"/>
    <mergeCell ref="A969:B969"/>
    <mergeCell ref="A946:B946"/>
    <mergeCell ref="C875:C879"/>
    <mergeCell ref="A868:B868"/>
    <mergeCell ref="C936:C939"/>
    <mergeCell ref="H813:H814"/>
    <mergeCell ref="A910:B913"/>
    <mergeCell ref="A824:B824"/>
    <mergeCell ref="H946:H947"/>
    <mergeCell ref="C974:D974"/>
    <mergeCell ref="A874:B874"/>
    <mergeCell ref="A820:B820"/>
    <mergeCell ref="A960:B960"/>
    <mergeCell ref="C969:D969"/>
    <mergeCell ref="A902:B902"/>
    <mergeCell ref="A1008:E1008"/>
    <mergeCell ref="B997:C997"/>
    <mergeCell ref="C972:D972"/>
    <mergeCell ref="A972:B972"/>
    <mergeCell ref="B995:C995"/>
    <mergeCell ref="C1022:C1025"/>
    <mergeCell ref="B1001:C1001"/>
    <mergeCell ref="B1003:C1003"/>
    <mergeCell ref="C1038:C1042"/>
    <mergeCell ref="A1065:B1065"/>
    <mergeCell ref="A1051:B1054"/>
    <mergeCell ref="A861:B865"/>
    <mergeCell ref="A869:B871"/>
    <mergeCell ref="A895:B895"/>
    <mergeCell ref="A1016:E1016"/>
    <mergeCell ref="A981:E981"/>
    <mergeCell ref="B986:C986"/>
    <mergeCell ref="B991:C991"/>
    <mergeCell ref="A974:B974"/>
    <mergeCell ref="B1004:C1004"/>
    <mergeCell ref="B983:C983"/>
    <mergeCell ref="A1022:B1025"/>
    <mergeCell ref="A1017:E1017"/>
    <mergeCell ref="A1028:B1028"/>
    <mergeCell ref="A1026:B1026"/>
    <mergeCell ref="A1027:B1027"/>
    <mergeCell ref="B994:C994"/>
    <mergeCell ref="B989:C989"/>
    <mergeCell ref="A1044:B1044"/>
    <mergeCell ref="C33:D33"/>
    <mergeCell ref="A34:B34"/>
    <mergeCell ref="C39:D39"/>
    <mergeCell ref="A48:B48"/>
    <mergeCell ref="A1029:B1034"/>
    <mergeCell ref="C861:C865"/>
    <mergeCell ref="C967:D967"/>
    <mergeCell ref="A1037:B1037"/>
    <mergeCell ref="A1010:E1010"/>
    <mergeCell ref="A966:B966"/>
    <mergeCell ref="A54:B54"/>
    <mergeCell ref="C962:D962"/>
    <mergeCell ref="A963:B963"/>
    <mergeCell ref="C964:D964"/>
    <mergeCell ref="A32:D32"/>
    <mergeCell ref="C34:D34"/>
    <mergeCell ref="C965:D965"/>
    <mergeCell ref="C961:D961"/>
    <mergeCell ref="A961:B961"/>
    <mergeCell ref="A965:B965"/>
    <mergeCell ref="A38:B38"/>
    <mergeCell ref="C40:D40"/>
    <mergeCell ref="A42:B42"/>
    <mergeCell ref="A40:B40"/>
    <mergeCell ref="A39:B39"/>
    <mergeCell ref="A46:B46"/>
    <mergeCell ref="A55:E55"/>
    <mergeCell ref="C47:D47"/>
    <mergeCell ref="C54:D54"/>
    <mergeCell ref="C23:D23"/>
    <mergeCell ref="A23:B23"/>
    <mergeCell ref="A11:B11"/>
    <mergeCell ref="A1:E1"/>
    <mergeCell ref="A2:C2"/>
    <mergeCell ref="A4:E4"/>
    <mergeCell ref="A3:C3"/>
    <mergeCell ref="A5:D5"/>
    <mergeCell ref="C6:D6"/>
    <mergeCell ref="A6:B6"/>
    <mergeCell ref="C21:D21"/>
    <mergeCell ref="A21:B21"/>
    <mergeCell ref="C22:D22"/>
    <mergeCell ref="A22:B22"/>
    <mergeCell ref="C36:D36"/>
    <mergeCell ref="C30:D30"/>
    <mergeCell ref="A7:B7"/>
    <mergeCell ref="C7:D7"/>
    <mergeCell ref="C42:D42"/>
    <mergeCell ref="A57:E57"/>
    <mergeCell ref="A33:B33"/>
    <mergeCell ref="A25:B25"/>
    <mergeCell ref="A27:D27"/>
    <mergeCell ref="A28:B28"/>
    <mergeCell ref="A30:B30"/>
    <mergeCell ref="C18:D18"/>
    <mergeCell ref="A18:B18"/>
    <mergeCell ref="A9:B9"/>
    <mergeCell ref="A10:B10"/>
    <mergeCell ref="C10:D10"/>
    <mergeCell ref="C11:D11"/>
    <mergeCell ref="C9:D9"/>
    <mergeCell ref="C15:D15"/>
    <mergeCell ref="C28:D28"/>
    <mergeCell ref="D31:E31"/>
    <mergeCell ref="A12:B12"/>
    <mergeCell ref="C13:D13"/>
    <mergeCell ref="A13:B13"/>
    <mergeCell ref="C25:D25"/>
    <mergeCell ref="C12:D12"/>
    <mergeCell ref="A14:B14"/>
    <mergeCell ref="C16:D16"/>
    <mergeCell ref="C29:D29"/>
    <mergeCell ref="C19:D19"/>
    <mergeCell ref="A61:C61"/>
    <mergeCell ref="A106:C106"/>
    <mergeCell ref="A152:E152"/>
    <mergeCell ref="A145:C145"/>
    <mergeCell ref="A36:B36"/>
    <mergeCell ref="C46:D46"/>
    <mergeCell ref="A90:E90"/>
    <mergeCell ref="A76:E76"/>
    <mergeCell ref="A56:E56"/>
    <mergeCell ref="A37:B37"/>
    <mergeCell ref="H773:H774"/>
    <mergeCell ref="H780:H781"/>
    <mergeCell ref="A158:C158"/>
    <mergeCell ref="A168:C168"/>
    <mergeCell ref="A181:C181"/>
    <mergeCell ref="A193:C193"/>
    <mergeCell ref="A200:C200"/>
    <mergeCell ref="B761:C764"/>
    <mergeCell ref="A173:C173"/>
    <mergeCell ref="A340:E340"/>
    <mergeCell ref="H751:H752"/>
    <mergeCell ref="H793:H794"/>
    <mergeCell ref="H798:H799"/>
    <mergeCell ref="H802:H803"/>
    <mergeCell ref="H807:H808"/>
    <mergeCell ref="A979:E979"/>
    <mergeCell ref="H760:H761"/>
    <mergeCell ref="H767:H768"/>
    <mergeCell ref="A819:B819"/>
    <mergeCell ref="A975:B975"/>
    <mergeCell ref="H788:H789"/>
    <mergeCell ref="C1093:C1094"/>
    <mergeCell ref="A1048:B1048"/>
    <mergeCell ref="C973:D973"/>
    <mergeCell ref="C1051:C1054"/>
    <mergeCell ref="C976:D976"/>
    <mergeCell ref="B998:C998"/>
    <mergeCell ref="B988:C988"/>
    <mergeCell ref="A1050:B1050"/>
    <mergeCell ref="A1038:B1042"/>
    <mergeCell ref="A1090:B1090"/>
    <mergeCell ref="A1087:B1087"/>
    <mergeCell ref="A1088:B1089"/>
    <mergeCell ref="A1096:B1096"/>
    <mergeCell ref="A1098:B1102"/>
    <mergeCell ref="A1104:B1104"/>
    <mergeCell ref="A1091:B1091"/>
    <mergeCell ref="A1095:B1095"/>
    <mergeCell ref="A1097:B1097"/>
    <mergeCell ref="A1130:B1130"/>
    <mergeCell ref="A1136:B1136"/>
    <mergeCell ref="A1132:B1132"/>
    <mergeCell ref="A1123:B1123"/>
    <mergeCell ref="A1106:B1107"/>
    <mergeCell ref="A1109:B1109"/>
    <mergeCell ref="A1115:B1115"/>
    <mergeCell ref="A1116:B1121"/>
    <mergeCell ref="A1139:B1139"/>
    <mergeCell ref="A1110:B1110"/>
    <mergeCell ref="A1124:B1124"/>
    <mergeCell ref="A1156:B1160"/>
    <mergeCell ref="A1126:B1126"/>
    <mergeCell ref="A1125:B1125"/>
    <mergeCell ref="A1147:B1147"/>
    <mergeCell ref="A1138:B1138"/>
    <mergeCell ref="A1129:B1129"/>
    <mergeCell ref="A1127:B1127"/>
    <mergeCell ref="A1063:B1063"/>
    <mergeCell ref="A1058:B1061"/>
    <mergeCell ref="A1045:B1045"/>
    <mergeCell ref="A1056:B1056"/>
    <mergeCell ref="A1137:B1137"/>
    <mergeCell ref="A1131:B1131"/>
    <mergeCell ref="A1134:B1134"/>
    <mergeCell ref="A1135:B1135"/>
    <mergeCell ref="A1133:B1133"/>
    <mergeCell ref="A1128:B1128"/>
    <mergeCell ref="A1076:B1076"/>
    <mergeCell ref="A1092:B1092"/>
    <mergeCell ref="C1069:C1073"/>
    <mergeCell ref="A1069:B1073"/>
    <mergeCell ref="A1057:B1057"/>
    <mergeCell ref="A1046:B1047"/>
    <mergeCell ref="A1049:B1049"/>
    <mergeCell ref="C1058:C1061"/>
    <mergeCell ref="C1046:C1047"/>
    <mergeCell ref="A1064:B1064"/>
    <mergeCell ref="C960:D960"/>
    <mergeCell ref="A927:B927"/>
    <mergeCell ref="A840:B840"/>
    <mergeCell ref="A1021:B1021"/>
    <mergeCell ref="B982:C982"/>
    <mergeCell ref="A1006:E1006"/>
    <mergeCell ref="A968:B968"/>
    <mergeCell ref="A1019:E1019"/>
    <mergeCell ref="B1000:C1000"/>
    <mergeCell ref="A955:B955"/>
    <mergeCell ref="A825:B830"/>
    <mergeCell ref="A41:B41"/>
    <mergeCell ref="A808:B810"/>
    <mergeCell ref="A227:C227"/>
    <mergeCell ref="A186:E186"/>
    <mergeCell ref="C825:C830"/>
    <mergeCell ref="A205:E205"/>
    <mergeCell ref="A694:A697"/>
    <mergeCell ref="C789:C790"/>
    <mergeCell ref="A59:E59"/>
    <mergeCell ref="A29:B29"/>
    <mergeCell ref="C963:D963"/>
    <mergeCell ref="A225:E225"/>
    <mergeCell ref="A188:C188"/>
    <mergeCell ref="A210:C210"/>
    <mergeCell ref="A803:B804"/>
    <mergeCell ref="A244:C244"/>
    <mergeCell ref="A207:C207"/>
    <mergeCell ref="A262:E262"/>
    <mergeCell ref="A154:C154"/>
    <mergeCell ref="A679:A683"/>
    <mergeCell ref="A264:C264"/>
    <mergeCell ref="A267:C267"/>
    <mergeCell ref="A717:A719"/>
    <mergeCell ref="A241:C241"/>
    <mergeCell ref="B744:C744"/>
    <mergeCell ref="A327:E327"/>
    <mergeCell ref="A329:C329"/>
    <mergeCell ref="A312:C312"/>
    <mergeCell ref="B670:C670"/>
    <mergeCell ref="A296:E296"/>
    <mergeCell ref="A298:C298"/>
    <mergeCell ref="B658:C661"/>
    <mergeCell ref="B663:C663"/>
    <mergeCell ref="A450:C450"/>
    <mergeCell ref="A455:E455"/>
    <mergeCell ref="B657:C657"/>
    <mergeCell ref="A574:C574"/>
    <mergeCell ref="A579:C579"/>
    <mergeCell ref="A586:C586"/>
    <mergeCell ref="B679:C683"/>
    <mergeCell ref="A672:A675"/>
    <mergeCell ref="A372:C372"/>
    <mergeCell ref="C1111:C1112"/>
    <mergeCell ref="A1111:B1112"/>
    <mergeCell ref="A935:B935"/>
    <mergeCell ref="C794:C795"/>
    <mergeCell ref="A973:B973"/>
    <mergeCell ref="C803:C804"/>
    <mergeCell ref="A802:B802"/>
    <mergeCell ref="A956:B956"/>
    <mergeCell ref="C847:C848"/>
    <mergeCell ref="A847:B848"/>
    <mergeCell ref="C883:C892"/>
    <mergeCell ref="A883:B892"/>
    <mergeCell ref="C856:C857"/>
    <mergeCell ref="A923:B924"/>
    <mergeCell ref="A916:B916"/>
    <mergeCell ref="A922:B922"/>
    <mergeCell ref="A909:B909"/>
    <mergeCell ref="A276:E276"/>
    <mergeCell ref="A278:C278"/>
    <mergeCell ref="A285:C285"/>
    <mergeCell ref="B766:C766"/>
    <mergeCell ref="A738:A741"/>
    <mergeCell ref="A302:C302"/>
    <mergeCell ref="A397:C397"/>
    <mergeCell ref="A401:C401"/>
    <mergeCell ref="A377:E377"/>
    <mergeCell ref="A354:E354"/>
    <mergeCell ref="A19:B19"/>
    <mergeCell ref="A310:E310"/>
    <mergeCell ref="A356:C356"/>
    <mergeCell ref="A231:C231"/>
    <mergeCell ref="B760:C760"/>
    <mergeCell ref="B738:C741"/>
    <mergeCell ref="A658:A661"/>
    <mergeCell ref="A411:C411"/>
    <mergeCell ref="A427:E427"/>
    <mergeCell ref="B672:C675"/>
    <mergeCell ref="B686:C686"/>
    <mergeCell ref="B781:C784"/>
    <mergeCell ref="B780:C780"/>
    <mergeCell ref="A701:A704"/>
    <mergeCell ref="A774:A777"/>
    <mergeCell ref="B717:C719"/>
    <mergeCell ref="A768:A770"/>
    <mergeCell ref="A745:A748"/>
    <mergeCell ref="B729:C729"/>
    <mergeCell ref="A687:A690"/>
    <mergeCell ref="H834:H835"/>
    <mergeCell ref="H840:H841"/>
    <mergeCell ref="H846:H847"/>
    <mergeCell ref="H686:H687"/>
    <mergeCell ref="A429:C429"/>
    <mergeCell ref="B664:C664"/>
    <mergeCell ref="A525:E525"/>
    <mergeCell ref="B701:C704"/>
    <mergeCell ref="H657:H658"/>
    <mergeCell ref="H664:H665"/>
    <mergeCell ref="B687:C690"/>
    <mergeCell ref="B669:C669"/>
    <mergeCell ref="B677:C677"/>
    <mergeCell ref="H707:H708"/>
    <mergeCell ref="B700:C700"/>
    <mergeCell ref="B694:C697"/>
    <mergeCell ref="H693:H694"/>
    <mergeCell ref="H671:H672"/>
    <mergeCell ref="H678:H679"/>
    <mergeCell ref="B678:C678"/>
    <mergeCell ref="H1045:H1046"/>
    <mergeCell ref="H1050:H1051"/>
    <mergeCell ref="H1057:H1058"/>
    <mergeCell ref="H1064:H1065"/>
    <mergeCell ref="H716:H717"/>
    <mergeCell ref="H722:H723"/>
    <mergeCell ref="H729:H730"/>
    <mergeCell ref="H737:H738"/>
    <mergeCell ref="H744:H745"/>
    <mergeCell ref="H824:H825"/>
    <mergeCell ref="H1037:H1038"/>
    <mergeCell ref="H882:H883"/>
    <mergeCell ref="H895:H896"/>
    <mergeCell ref="H902:H903"/>
    <mergeCell ref="H909:H910"/>
    <mergeCell ref="H1028:H1029"/>
    <mergeCell ref="H922:H923"/>
    <mergeCell ref="H951:H952"/>
    <mergeCell ref="H955:H956"/>
    <mergeCell ref="H1021:H1022"/>
    <mergeCell ref="H1180:H1181"/>
    <mergeCell ref="H1110:H1111"/>
    <mergeCell ref="H1115:H1116"/>
    <mergeCell ref="H1124:H1125"/>
    <mergeCell ref="H1128:H1129"/>
    <mergeCell ref="H1140:H1141"/>
    <mergeCell ref="H1148:H1149"/>
    <mergeCell ref="H1155:H1156"/>
    <mergeCell ref="H1163:H1164"/>
    <mergeCell ref="H1175:H1176"/>
    <mergeCell ref="H1167:H1168"/>
    <mergeCell ref="H1068:H1069"/>
    <mergeCell ref="H1076:H1077"/>
    <mergeCell ref="H1087:H1088"/>
    <mergeCell ref="H1092:H1093"/>
    <mergeCell ref="H1097:H1098"/>
    <mergeCell ref="H1105:H1106"/>
    <mergeCell ref="H1132:H1133"/>
    <mergeCell ref="H1136:H1137"/>
    <mergeCell ref="A1202:B1202"/>
    <mergeCell ref="A1203:B1203"/>
    <mergeCell ref="H1187:H1188"/>
    <mergeCell ref="H1192:H1193"/>
    <mergeCell ref="A1191:B1191"/>
    <mergeCell ref="A1192:B1192"/>
    <mergeCell ref="A1193:B1194"/>
    <mergeCell ref="A1188:B1189"/>
    <mergeCell ref="C1188:C1189"/>
    <mergeCell ref="A1187:B1187"/>
    <mergeCell ref="A291:C291"/>
    <mergeCell ref="A316:C316"/>
    <mergeCell ref="C1141:C1145"/>
    <mergeCell ref="A1141:B1145"/>
    <mergeCell ref="A1196:B1196"/>
    <mergeCell ref="A1197:B1197"/>
    <mergeCell ref="C1193:C1194"/>
    <mergeCell ref="A1162:B1162"/>
    <mergeCell ref="A1154:B1154"/>
    <mergeCell ref="A1155:B1155"/>
    <mergeCell ref="A15:B15"/>
    <mergeCell ref="A17:B17"/>
    <mergeCell ref="C41:D41"/>
    <mergeCell ref="A47:B47"/>
    <mergeCell ref="C52:D52"/>
    <mergeCell ref="A52:B52"/>
    <mergeCell ref="C37:D37"/>
    <mergeCell ref="C38:D38"/>
    <mergeCell ref="C17:D17"/>
    <mergeCell ref="C20:D20"/>
    <mergeCell ref="A1207:B1207"/>
    <mergeCell ref="C44:D44"/>
    <mergeCell ref="C45:D45"/>
    <mergeCell ref="A44:B44"/>
    <mergeCell ref="A45:B45"/>
    <mergeCell ref="A942:B942"/>
    <mergeCell ref="A49:B49"/>
    <mergeCell ref="A383:C383"/>
    <mergeCell ref="C1168:C1172"/>
    <mergeCell ref="A1168:B1172"/>
    <mergeCell ref="C1209:C1210"/>
    <mergeCell ref="H1208:H1209"/>
    <mergeCell ref="C835:C837"/>
    <mergeCell ref="A835:B837"/>
    <mergeCell ref="H942:H943"/>
    <mergeCell ref="A943:B943"/>
    <mergeCell ref="H1197:H1198"/>
    <mergeCell ref="H1203:H1204"/>
    <mergeCell ref="A1204:B1205"/>
    <mergeCell ref="C1204:C1205"/>
    <mergeCell ref="A1214:B1214"/>
    <mergeCell ref="T1214:X1214"/>
    <mergeCell ref="C35:D35"/>
    <mergeCell ref="A35:B35"/>
    <mergeCell ref="C43:D43"/>
    <mergeCell ref="C49:D49"/>
    <mergeCell ref="C51:D51"/>
    <mergeCell ref="A43:B43"/>
    <mergeCell ref="A1208:B1208"/>
    <mergeCell ref="H1213:H1214"/>
    <mergeCell ref="A1213:B1213"/>
    <mergeCell ref="C947:C948"/>
    <mergeCell ref="A947:B948"/>
    <mergeCell ref="A51:B51"/>
    <mergeCell ref="C8:D8"/>
    <mergeCell ref="C14:D14"/>
    <mergeCell ref="A8:B8"/>
    <mergeCell ref="A16:B16"/>
    <mergeCell ref="A1212:B1212"/>
    <mergeCell ref="A1209:B1210"/>
    <mergeCell ref="A20:B20"/>
    <mergeCell ref="A1222:B1222"/>
    <mergeCell ref="A1223:B1223"/>
    <mergeCell ref="A1224:B1224"/>
    <mergeCell ref="H1223:H1224"/>
    <mergeCell ref="C917:C919"/>
    <mergeCell ref="A917:B919"/>
    <mergeCell ref="A457:C457"/>
    <mergeCell ref="A471:C471"/>
    <mergeCell ref="A976:B976"/>
    <mergeCell ref="C1233:C1235"/>
    <mergeCell ref="A1233:B1235"/>
    <mergeCell ref="H1227:H1228"/>
    <mergeCell ref="H1232:H1233"/>
    <mergeCell ref="A1226:B1226"/>
    <mergeCell ref="A1227:B1227"/>
    <mergeCell ref="A1228:B1229"/>
    <mergeCell ref="C1228:C1229"/>
    <mergeCell ref="A1231:B1231"/>
    <mergeCell ref="A1232:B1232"/>
    <mergeCell ref="C24:D24"/>
    <mergeCell ref="A24:B24"/>
    <mergeCell ref="B708:C713"/>
    <mergeCell ref="A708:A713"/>
    <mergeCell ref="C928:C932"/>
    <mergeCell ref="A928:B932"/>
    <mergeCell ref="A379:C379"/>
    <mergeCell ref="A781:A784"/>
    <mergeCell ref="A395:E395"/>
    <mergeCell ref="A572:E572"/>
    <mergeCell ref="A634:C634"/>
    <mergeCell ref="A598:C598"/>
    <mergeCell ref="A603:E603"/>
    <mergeCell ref="A605:C605"/>
    <mergeCell ref="A617:C617"/>
    <mergeCell ref="A609:C609"/>
    <mergeCell ref="A622:E622"/>
  </mergeCells>
  <printOptions horizontalCentered="1"/>
  <pageMargins left="0.196850393700787" right="0.196850393700787" top="0.0393700787401575" bottom="0.236220472440945" header="0.31496062992126" footer="0.31496062992126"/>
  <pageSetup fitToHeight="0" fitToWidth="1" horizontalDpi="600" verticalDpi="600" orientation="portrait" paperSize="9" scale="65" r:id="rId1"/>
  <headerFooter alignWithMargins="0">
    <oddHeader>&amp;R&amp;P</oddHeader>
    <oddFooter>&amp;L&amp;14A.O. / Disposal&amp;C&amp;14Sr.XEN. / Disposal&amp;R&amp;14COS and D ( South), PTA</oddFooter>
  </headerFooter>
  <rowBreaks count="17" manualBreakCount="17">
    <brk id="66" max="4" man="1"/>
    <brk id="123" max="4" man="1"/>
    <brk id="184" max="4" man="1"/>
    <brk id="247" max="4" man="1"/>
    <brk id="308" max="4" man="1"/>
    <brk id="371" max="4" man="1"/>
    <brk id="435" max="4" man="1"/>
    <brk id="501" max="4" man="1"/>
    <brk id="566" max="4" man="1"/>
    <brk id="633" max="4" man="1"/>
    <brk id="704" max="4" man="1"/>
    <brk id="784" max="4" man="1"/>
    <brk id="865" max="4" man="1"/>
    <brk id="943" max="4" man="1"/>
    <brk id="1017" max="4" man="1"/>
    <brk id="1094" max="4" man="1"/>
    <brk id="117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93" zoomScaleSheetLayoutView="93" zoomScalePageLayoutView="0" workbookViewId="0" topLeftCell="A7">
      <selection activeCell="E17" sqref="E17"/>
    </sheetView>
  </sheetViews>
  <sheetFormatPr defaultColWidth="9.140625" defaultRowHeight="12.75"/>
  <cols>
    <col min="1" max="1" width="23.140625" style="0" customWidth="1"/>
    <col min="2" max="2" width="69.8515625" style="25" customWidth="1"/>
    <col min="3" max="3" width="24.8515625" style="0" customWidth="1"/>
    <col min="4" max="4" width="9.7109375" style="0" hidden="1" customWidth="1"/>
    <col min="5" max="5" width="119.7109375" style="0" customWidth="1"/>
  </cols>
  <sheetData>
    <row r="1" spans="1:3" ht="18">
      <c r="A1" s="383" t="s">
        <v>84</v>
      </c>
      <c r="B1" s="383"/>
      <c r="C1" s="383"/>
    </row>
    <row r="2" spans="1:2" ht="12.75">
      <c r="A2" s="30" t="str">
        <f>scrap!A2</f>
        <v>E - Auction Notice No. -</v>
      </c>
      <c r="B2" s="29" t="str">
        <f>scrap!D2</f>
        <v>EA-70 /PTA-2023-24</v>
      </c>
    </row>
    <row r="3" spans="1:2" ht="12.75">
      <c r="A3" s="30" t="str">
        <f>scrap!A3</f>
        <v>Date of Auction -</v>
      </c>
      <c r="B3" s="29" t="str">
        <f>scrap!D3</f>
        <v>13.02.2024</v>
      </c>
    </row>
    <row r="4" spans="1:2" ht="12.75">
      <c r="A4" s="30"/>
      <c r="B4" s="29"/>
    </row>
    <row r="5" spans="1:3" s="26" customFormat="1" ht="20.25" customHeight="1">
      <c r="A5" s="79" t="s">
        <v>5</v>
      </c>
      <c r="B5" s="153" t="s">
        <v>81</v>
      </c>
      <c r="C5" s="152" t="s">
        <v>82</v>
      </c>
    </row>
    <row r="6" spans="1:5" s="26" customFormat="1" ht="20.25" customHeight="1">
      <c r="A6" s="86" t="s">
        <v>546</v>
      </c>
      <c r="B6" s="105" t="s">
        <v>160</v>
      </c>
      <c r="C6" s="46">
        <v>343</v>
      </c>
      <c r="D6" s="241"/>
      <c r="E6" s="102" t="str">
        <f aca="true" t="shared" si="0" ref="E6:E14">CONCATENATE("E-Waste Scrap (Meter scrap), Lying at ",B6,". Quantity in Kg - ",C6,)</f>
        <v>E-Waste Scrap (Meter scrap), Lying at ME LAB PATIALA (Crushed Meter Scrap/E-Waste). Quantity in Kg - 343</v>
      </c>
    </row>
    <row r="7" spans="1:5" s="26" customFormat="1" ht="20.25" customHeight="1">
      <c r="A7" s="86" t="s">
        <v>271</v>
      </c>
      <c r="B7" s="105" t="s">
        <v>152</v>
      </c>
      <c r="C7" s="46">
        <v>1025</v>
      </c>
      <c r="D7" s="133"/>
      <c r="E7" s="102" t="str">
        <f t="shared" si="0"/>
        <v>E-Waste Scrap (Meter scrap), Lying at ME LAB SANGRUR (Crushed Meter Scrap/E-Waste). Quantity in Kg - 1025</v>
      </c>
    </row>
    <row r="8" spans="1:5" s="26" customFormat="1" ht="20.25" customHeight="1">
      <c r="A8" s="86" t="s">
        <v>272</v>
      </c>
      <c r="B8" s="105" t="s">
        <v>153</v>
      </c>
      <c r="C8" s="46">
        <v>181</v>
      </c>
      <c r="D8" s="133"/>
      <c r="E8" s="102" t="str">
        <f t="shared" si="0"/>
        <v>E-Waste Scrap (Meter scrap), Lying at ME LAB ROPAR (Crushed Meter Scrap/E-Waste). Quantity in Kg - 181</v>
      </c>
    </row>
    <row r="9" spans="1:5" s="26" customFormat="1" ht="20.25" customHeight="1">
      <c r="A9" s="86" t="s">
        <v>273</v>
      </c>
      <c r="B9" s="105" t="s">
        <v>269</v>
      </c>
      <c r="C9" s="46">
        <v>625.39</v>
      </c>
      <c r="D9" s="133"/>
      <c r="E9" s="102" t="str">
        <f t="shared" si="0"/>
        <v>E-Waste Scrap (Meter scrap), Lying at ME LAB MOGA (Crushed Meter Scrap/E-Waste). Quantity in Kg - 625.39</v>
      </c>
    </row>
    <row r="10" spans="1:5" s="26" customFormat="1" ht="20.25" customHeight="1">
      <c r="A10" s="86" t="s">
        <v>274</v>
      </c>
      <c r="B10" s="105" t="s">
        <v>270</v>
      </c>
      <c r="C10" s="46">
        <v>1364.12</v>
      </c>
      <c r="D10" s="133"/>
      <c r="E10" s="102" t="str">
        <f t="shared" si="0"/>
        <v>E-Waste Scrap (Meter scrap), Lying at ME LAB SHRI MUKTSAR SAHIB (Crushed Meter Scrap/E-Waste). Quantity in Kg - 1364.12</v>
      </c>
    </row>
    <row r="11" spans="1:5" s="26" customFormat="1" ht="20.25" customHeight="1">
      <c r="A11" s="86" t="s">
        <v>275</v>
      </c>
      <c r="B11" s="107" t="s">
        <v>356</v>
      </c>
      <c r="C11" s="73">
        <v>1800</v>
      </c>
      <c r="D11" s="133"/>
      <c r="E11" s="102" t="str">
        <f t="shared" si="0"/>
        <v>E-Waste Scrap (Meter scrap), Lying at ME LAB ROPAR  (Electronic Meter Scrap/E-Waste )  . Quantity in Kg - 1800</v>
      </c>
    </row>
    <row r="12" spans="1:5" s="26" customFormat="1" ht="20.25" customHeight="1">
      <c r="A12" s="86" t="s">
        <v>313</v>
      </c>
      <c r="B12" s="239" t="s">
        <v>363</v>
      </c>
      <c r="C12" s="240">
        <v>1125.45</v>
      </c>
      <c r="D12" s="299">
        <v>945.45</v>
      </c>
      <c r="E12" s="102" t="str">
        <f t="shared" si="0"/>
        <v>E-Waste Scrap (Meter scrap), Lying at ME LAB BATHINDA  (Electronic Meter Scrap/E-Waste )  . Quantity in Kg - 1125.45</v>
      </c>
    </row>
    <row r="13" spans="1:5" s="26" customFormat="1" ht="20.25" customHeight="1">
      <c r="A13" s="86" t="s">
        <v>352</v>
      </c>
      <c r="B13" s="239" t="s">
        <v>364</v>
      </c>
      <c r="C13" s="240">
        <v>1294.926</v>
      </c>
      <c r="D13" s="299">
        <v>1125.796</v>
      </c>
      <c r="E13" s="102" t="str">
        <f t="shared" si="0"/>
        <v>E-Waste Scrap (Meter scrap), Lying at ME LAB MOGA (Electronic Meter Scrap/E-Waste )  . Quantity in Kg - 1294.926</v>
      </c>
    </row>
    <row r="14" spans="1:5" s="26" customFormat="1" ht="20.25" customHeight="1">
      <c r="A14" s="86" t="s">
        <v>353</v>
      </c>
      <c r="B14" s="239" t="s">
        <v>685</v>
      </c>
      <c r="C14" s="240">
        <v>903.265</v>
      </c>
      <c r="D14" s="133" t="s">
        <v>686</v>
      </c>
      <c r="E14" s="102" t="str">
        <f t="shared" si="0"/>
        <v>E-Waste Scrap (Meter scrap), Lying at ME LAB SHRI MUKTSAR SAHIB (Electronic Meter Scrap/E-Waste )  . Quantity in Kg - 903.265</v>
      </c>
    </row>
    <row r="15" spans="1:5" s="26" customFormat="1" ht="20.25" customHeight="1">
      <c r="A15" s="142"/>
      <c r="B15" s="85"/>
      <c r="C15" s="143"/>
      <c r="D15" s="144"/>
      <c r="E15" s="145"/>
    </row>
    <row r="16" spans="1:5" s="26" customFormat="1" ht="37.5" customHeight="1">
      <c r="A16" s="384" t="s">
        <v>341</v>
      </c>
      <c r="B16" s="384"/>
      <c r="C16" s="384"/>
      <c r="D16" s="146"/>
      <c r="E16" s="147"/>
    </row>
    <row r="17" spans="1:5" s="26" customFormat="1" ht="20.25" customHeight="1">
      <c r="A17" s="384"/>
      <c r="B17" s="384"/>
      <c r="C17" s="384"/>
      <c r="D17" s="147"/>
      <c r="E17" s="147"/>
    </row>
    <row r="18" spans="1:5" s="26" customFormat="1" ht="39.75" customHeight="1">
      <c r="A18" s="384"/>
      <c r="B18" s="384"/>
      <c r="C18" s="384"/>
      <c r="D18" s="144"/>
      <c r="E18" s="145"/>
    </row>
    <row r="19" spans="1:5" s="26" customFormat="1" ht="15" customHeight="1">
      <c r="A19" s="148"/>
      <c r="B19" s="151" t="s">
        <v>214</v>
      </c>
      <c r="C19" s="152" t="s">
        <v>340</v>
      </c>
      <c r="D19" s="144"/>
      <c r="E19" s="145"/>
    </row>
    <row r="20" spans="1:5" s="26" customFormat="1" ht="20.25" customHeight="1">
      <c r="A20" s="86" t="s">
        <v>354</v>
      </c>
      <c r="B20" s="107" t="s">
        <v>338</v>
      </c>
      <c r="C20" s="149">
        <v>1</v>
      </c>
      <c r="D20" s="133"/>
      <c r="E20" s="102" t="str">
        <f>CONCATENATE("E-Waste Scrap (U/S AC WINDOW), Lying at ",B20,". Quantity in No - ",C20,)</f>
        <v>E-Waste Scrap (U/S AC WINDOW), Lying at CS SANGRUR (U/S AC WINDOW). Quantity in No - 1</v>
      </c>
    </row>
    <row r="21" spans="1:5" s="26" customFormat="1" ht="20.25" customHeight="1">
      <c r="A21" s="86" t="s">
        <v>365</v>
      </c>
      <c r="B21" s="107" t="s">
        <v>339</v>
      </c>
      <c r="C21" s="149">
        <v>16</v>
      </c>
      <c r="D21" s="133"/>
      <c r="E21" s="102" t="str">
        <f>CONCATENATE("E-Waste Scrap (U/S AC WINDOW), Lying at ",B21,". Quantity in No - ",C21,)</f>
        <v>E-Waste Scrap (U/S AC WINDOW), Lying at CS PATIALA  (U/S AC WINDOW). Quantity in No - 16</v>
      </c>
    </row>
    <row r="22" spans="1:5" s="26" customFormat="1" ht="20.25" customHeight="1">
      <c r="A22" s="86" t="s">
        <v>366</v>
      </c>
      <c r="B22" s="107" t="s">
        <v>349</v>
      </c>
      <c r="C22" s="149">
        <v>19</v>
      </c>
      <c r="D22" s="133"/>
      <c r="E22" s="102" t="str">
        <f>CONCATENATE("E-Waste Scrap (U/S STABLIZERS), Lying at ",B22,". Quantity in No - ",C22,)</f>
        <v>E-Waste Scrap (U/S STABLIZERS), Lying at CS PATIALA  (U/S STABLIZERS). Quantity in No - 19</v>
      </c>
    </row>
    <row r="23" spans="1:5" s="26" customFormat="1" ht="20.25" customHeight="1">
      <c r="A23" s="86" t="s">
        <v>582</v>
      </c>
      <c r="B23" s="107" t="s">
        <v>544</v>
      </c>
      <c r="C23" s="149">
        <v>5</v>
      </c>
      <c r="D23" s="133"/>
      <c r="E23" s="102" t="str">
        <f>CONCATENATE("E-Waste Scrap (U/S AC SPLIT), Lying at ",B23,". Quantity in No - ",C23,)</f>
        <v>E-Waste Scrap (U/S AC SPLIT), Lying at CS PATIALA  (U/S AC SPLIT). Quantity in No - 5</v>
      </c>
    </row>
    <row r="24" spans="1:5" s="26" customFormat="1" ht="20.25" customHeight="1">
      <c r="A24" s="86" t="s">
        <v>687</v>
      </c>
      <c r="B24" s="107" t="s">
        <v>581</v>
      </c>
      <c r="C24" s="149">
        <v>1</v>
      </c>
      <c r="D24" s="144"/>
      <c r="E24" s="102" t="str">
        <f>CONCATENATE("E-Waste Scrap (U/S AC SPLIT), Lying at ",B24,". Quantity in No - ",C24,)</f>
        <v>E-Waste Scrap (U/S AC SPLIT), Lying at CS KOTKAPURA (U/S AC WINDOW). Quantity in No - 1</v>
      </c>
    </row>
    <row r="25" spans="1:5" s="26" customFormat="1" ht="20.25" customHeight="1">
      <c r="A25" s="142"/>
      <c r="B25" s="155"/>
      <c r="C25" s="154"/>
      <c r="D25" s="144"/>
      <c r="E25" s="145"/>
    </row>
    <row r="26" spans="1:3" s="26" customFormat="1" ht="15" customHeight="1">
      <c r="A26" s="36"/>
      <c r="B26" s="37"/>
      <c r="C26" s="85"/>
    </row>
    <row r="27" spans="1:3" s="26" customFormat="1" ht="15.75">
      <c r="A27" s="31" t="s">
        <v>83</v>
      </c>
      <c r="B27" s="32" t="s">
        <v>87</v>
      </c>
      <c r="C27" s="33" t="s">
        <v>86</v>
      </c>
    </row>
    <row r="28" spans="1:3" s="26" customFormat="1" ht="15.75">
      <c r="A28" s="31" t="s">
        <v>85</v>
      </c>
      <c r="B28" s="31" t="s">
        <v>85</v>
      </c>
      <c r="C28" s="31" t="s">
        <v>85</v>
      </c>
    </row>
    <row r="29" spans="1:3" s="26" customFormat="1" ht="15">
      <c r="A29" s="27"/>
      <c r="B29" s="28"/>
      <c r="C29" s="27"/>
    </row>
  </sheetData>
  <sheetProtection/>
  <mergeCells count="2">
    <mergeCell ref="A1:C1"/>
    <mergeCell ref="A16:C1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Rajiv</dc:creator>
  <cp:keywords/>
  <dc:description/>
  <cp:lastModifiedBy>Administrator</cp:lastModifiedBy>
  <cp:lastPrinted>2024-02-09T10:04:10Z</cp:lastPrinted>
  <dcterms:created xsi:type="dcterms:W3CDTF">1996-10-14T23:33:28Z</dcterms:created>
  <dcterms:modified xsi:type="dcterms:W3CDTF">2024-02-09T10:10:58Z</dcterms:modified>
  <cp:category/>
  <cp:version/>
  <cp:contentType/>
  <cp:contentStatus/>
</cp:coreProperties>
</file>