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765" tabRatio="911" activeTab="0"/>
  </bookViews>
  <sheets>
    <sheet name="scrap" sheetId="1" r:id="rId1"/>
    <sheet name="E-WASTE" sheetId="2" r:id="rId2"/>
  </sheets>
  <definedNames>
    <definedName name="_xlnm.Print_Area" localSheetId="0">'scrap'!$A$1:$E$585</definedName>
  </definedNames>
  <calcPr fullCalcOnLoad="1"/>
</workbook>
</file>

<file path=xl/sharedStrings.xml><?xml version="1.0" encoding="utf-8"?>
<sst xmlns="http://schemas.openxmlformats.org/spreadsheetml/2006/main" count="958" uniqueCount="377">
  <si>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</si>
  <si>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</si>
  <si>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</si>
  <si>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</si>
  <si>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</si>
  <si>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</si>
  <si>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</si>
  <si>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</si>
  <si>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</si>
  <si>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</si>
  <si>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</si>
  <si>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</si>
  <si>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</si>
  <si>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</si>
  <si>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</si>
  <si>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</si>
  <si>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</si>
  <si>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</si>
  <si>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</si>
  <si>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</si>
  <si>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</si>
  <si>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</si>
  <si>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</si>
  <si>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</si>
  <si>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</si>
  <si>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</si>
  <si>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</si>
  <si>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</si>
  <si>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</si>
  <si>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</si>
  <si>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</si>
  <si>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</si>
  <si>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</si>
  <si>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</si>
  <si>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</si>
  <si>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</si>
  <si>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</si>
  <si>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</si>
  <si>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</si>
  <si>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</si>
  <si>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</si>
  <si>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</si>
  <si>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</si>
  <si>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</si>
  <si>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</si>
  <si>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</si>
  <si>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</si>
  <si>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</si>
  <si>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</si>
  <si>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</si>
  <si>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</si>
  <si>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</si>
  <si>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Lot no. Q-9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</si>
  <si>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</si>
  <si>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</si>
  <si>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</si>
  <si>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</si>
  <si>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</si>
  <si>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</si>
  <si>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</si>
  <si>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</si>
  <si>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</si>
  <si>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</si>
  <si>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</si>
  <si>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</si>
  <si>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</si>
  <si>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</si>
  <si>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</si>
  <si>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</si>
  <si>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</si>
  <si>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</si>
  <si>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</si>
  <si>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</si>
  <si>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</si>
  <si>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</si>
  <si>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</si>
  <si>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</si>
  <si>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</si>
  <si>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</si>
  <si>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</si>
  <si>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</si>
  <si>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</si>
  <si>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</si>
  <si>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</si>
  <si>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</si>
  <si>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</si>
  <si>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</si>
  <si>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</si>
  <si>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</si>
  <si>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</si>
  <si>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</si>
  <si>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</si>
  <si>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</si>
  <si>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</si>
  <si>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</si>
  <si>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</si>
  <si>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</si>
  <si>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</si>
  <si>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</si>
  <si>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</si>
  <si>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</si>
  <si>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</si>
  <si>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</si>
  <si>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</si>
  <si>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store Nabha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</si>
  <si>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</si>
  <si>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</si>
  <si>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</si>
  <si>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</si>
  <si>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</si>
  <si>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</si>
  <si>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</si>
  <si>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</si>
  <si>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</si>
  <si>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</si>
  <si>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</si>
  <si>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</si>
  <si>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</si>
  <si>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</si>
  <si>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</si>
  <si>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</si>
  <si>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</si>
  <si>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</si>
  <si>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</si>
  <si>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</si>
  <si>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</si>
  <si>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</si>
  <si>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</si>
  <si>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</si>
  <si>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</si>
  <si>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</si>
  <si>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</si>
  <si>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</si>
  <si>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TRY Bhagta Bhai Ka</t>
  </si>
  <si>
    <t>Lot no. Q-16</t>
  </si>
  <si>
    <t>Lot no. Q-17</t>
  </si>
  <si>
    <t>TRY Sangrur</t>
  </si>
  <si>
    <t>TRY Patran</t>
  </si>
  <si>
    <t>Lot no. Q-18</t>
  </si>
  <si>
    <t>Earthwire GSL scrap</t>
  </si>
  <si>
    <t>TRY Ropar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</si>
  <si>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</si>
  <si>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</si>
  <si>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</si>
  <si>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</si>
  <si>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</si>
  <si>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</si>
  <si>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</si>
  <si>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</si>
  <si>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</si>
  <si>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</si>
  <si>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</si>
  <si>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</si>
  <si>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</si>
  <si>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 xml:space="preserve">ME LAB PATIALA  (Electronic Meter Scrap/E-Waste )  </t>
  </si>
  <si>
    <t xml:space="preserve">ME LAB ROPAR  (Electronic Meter Scrap/E-Waste )  </t>
  </si>
  <si>
    <t>OL Shri Muktsar sahib</t>
  </si>
  <si>
    <t>Lot No B-5</t>
  </si>
  <si>
    <t>Central Store Patiala</t>
  </si>
  <si>
    <t>Lot No. I-8</t>
  </si>
  <si>
    <t>ME LAB PATIALA (Crushed Meter Scrap/E-Waste)</t>
  </si>
  <si>
    <t>Lot No. I-9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</si>
  <si>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</si>
  <si>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</si>
  <si>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</si>
  <si>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</si>
  <si>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</si>
  <si>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</si>
  <si>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</si>
  <si>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</si>
  <si>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</si>
  <si>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</si>
  <si>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</si>
  <si>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</si>
  <si>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</si>
  <si>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</si>
  <si>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</si>
  <si>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 A-4</t>
  </si>
  <si>
    <t>Outlet store Malerkotla</t>
  </si>
  <si>
    <t>Lot No A-6</t>
  </si>
  <si>
    <t>Outlet store Patran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</si>
  <si>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</si>
  <si>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</si>
  <si>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</si>
  <si>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</si>
  <si>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</si>
  <si>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</si>
  <si>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</si>
  <si>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</si>
  <si>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</si>
  <si>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</si>
  <si>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</si>
  <si>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</si>
  <si>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</si>
  <si>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</si>
  <si>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</si>
  <si>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</si>
  <si>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</si>
  <si>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</si>
  <si>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</si>
  <si>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</si>
  <si>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</si>
  <si>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</si>
  <si>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</si>
  <si>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I-7</t>
  </si>
  <si>
    <t>Lot no. E - 12</t>
  </si>
  <si>
    <t>MS Angle/ Channel Scrap</t>
  </si>
  <si>
    <t>Central Store Sangrur</t>
  </si>
  <si>
    <t>Lot no. Q-21</t>
  </si>
  <si>
    <t>Lot no. D-14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</si>
  <si>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</si>
  <si>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</si>
  <si>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</si>
  <si>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</si>
  <si>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</si>
  <si>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</si>
  <si>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</si>
  <si>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</si>
  <si>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</si>
  <si>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</si>
  <si>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</si>
  <si>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GI wire /GSL scrap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</si>
  <si>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</si>
  <si>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</si>
  <si>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</si>
  <si>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</si>
  <si>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</si>
  <si>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</si>
  <si>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</si>
  <si>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</si>
  <si>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Nabha</t>
  </si>
  <si>
    <t>Outlet store Rajpura</t>
  </si>
  <si>
    <t>CS Patiala (.013 MT Intermingle)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</si>
  <si>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</si>
  <si>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</si>
  <si>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</si>
  <si>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</si>
  <si>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</si>
  <si>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</si>
  <si>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 (unstandard tf's)</t>
  </si>
  <si>
    <t>WNP-1 (unstandard tf's)</t>
  </si>
  <si>
    <t>WNP-3 (unstandard tf's)</t>
  </si>
  <si>
    <t>63 KVA</t>
  </si>
  <si>
    <t>NEW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</si>
  <si>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</si>
  <si>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</si>
  <si>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</si>
  <si>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</si>
  <si>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</si>
  <si>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</si>
  <si>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</si>
  <si>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</si>
  <si>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</si>
  <si>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</si>
  <si>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</si>
  <si>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</si>
  <si>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</si>
  <si>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</si>
  <si>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</si>
  <si>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</si>
  <si>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</si>
  <si>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</si>
  <si>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</si>
  <si>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L-4</t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</si>
  <si>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</si>
  <si>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</si>
  <si>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200 KVA</t>
  </si>
  <si>
    <t>PTEL-1</t>
  </si>
  <si>
    <t>Outlet store Fazilka</t>
  </si>
  <si>
    <t>Lot No B-10</t>
  </si>
  <si>
    <t>Lot No B-11</t>
  </si>
  <si>
    <t>Lot No B-13</t>
  </si>
  <si>
    <t>Lot no. D17</t>
  </si>
  <si>
    <t>Lot no. Q-27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</si>
  <si>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</si>
  <si>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</si>
  <si>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</si>
  <si>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</si>
  <si>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</si>
  <si>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</si>
  <si>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</si>
  <si>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</si>
  <si>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</si>
  <si>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</si>
  <si>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</si>
  <si>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</si>
  <si>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</si>
  <si>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 xml:space="preserve">ME LAB SANGRUR  (Electronic Meter Scrap/E-Waste )  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</si>
  <si>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</si>
  <si>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</si>
  <si>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</si>
  <si>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</si>
  <si>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</si>
  <si>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</si>
  <si>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</si>
  <si>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SARAF 1, NUCON 3, JR 1, PTEL 1, TA 3, SICL 2</t>
  </si>
  <si>
    <t>AGARWAL 1, JR 4, UTTAM 1, TA 1, NPC 1, STAR 1, JM 1, PP 1,</t>
  </si>
  <si>
    <t>JR 1, JB 1</t>
  </si>
  <si>
    <t>ARD 2, JB 2, ECO 1, SICL 2, PTEL 1, JBK 1</t>
  </si>
  <si>
    <t>SR IMPEX 1, UP 1,</t>
  </si>
  <si>
    <t>JB 1, PP 1, TA 1</t>
  </si>
  <si>
    <t>ELE 1</t>
  </si>
  <si>
    <t>VIJAI 1, SICL 1</t>
  </si>
  <si>
    <t>63 KVA (amorphous core)</t>
  </si>
  <si>
    <t>NPC-1 (amorphous core)</t>
  </si>
  <si>
    <t>GEES -1</t>
  </si>
  <si>
    <t xml:space="preserve"> JBB=1 (unstandard tf's)</t>
  </si>
  <si>
    <t>144/2023</t>
  </si>
  <si>
    <t>145/2023</t>
  </si>
  <si>
    <t>146/2023</t>
  </si>
  <si>
    <t>147/2023</t>
  </si>
  <si>
    <t>149/2023</t>
  </si>
  <si>
    <t>150/2023</t>
  </si>
  <si>
    <t>151/2023</t>
  </si>
  <si>
    <t>152/2023</t>
  </si>
  <si>
    <t>153/2023</t>
  </si>
  <si>
    <t>154/2023</t>
  </si>
  <si>
    <t>148/2023</t>
  </si>
  <si>
    <t>G)  Wooden scrap (without iron parts) lying as per detail given below:-</t>
  </si>
  <si>
    <t>CS Mohali (.314 MT intermingle)</t>
  </si>
  <si>
    <t>Lot No A-13</t>
  </si>
  <si>
    <t>PP-1, SICL-1, MCPL-1</t>
  </si>
  <si>
    <t>SARAF-1, SICL-2, PP-1, NUCON-1,DURA-2, SHIVALIK-3</t>
  </si>
  <si>
    <t>WNP-8  (unstandard tf's)</t>
  </si>
  <si>
    <t>HITECH=2,JM=2,JR=4,MS=2,NUCON=3,PP=3,PTEL=3,PTEL/PME=1,SARAF=2,SUSHIL=1,SICL=2</t>
  </si>
  <si>
    <t>AMSON=1,DURABLE=1,HR=5,JM=1,JR=5,MS=2,PTEL=3,SICL=1,TA=6</t>
  </si>
  <si>
    <t>AGGARWAL=2,HITECH=1,HR=4,JM=1,JR=3,NUCON=3,PTEL=2,SICL=1,SUSHIL=1,TA=2</t>
  </si>
  <si>
    <t>ARD=2,HR=2,JB=2,AJAY=1,NV=8,MS=6,NPC=3,PP=1(unstandard tf's)</t>
  </si>
  <si>
    <t>ARD=1,HR=3,JB=2,JB/NV=3,MS=3,NUCON=2 (unstandard tf's)</t>
  </si>
  <si>
    <t>JB/NV=2 (unstandard tf's)</t>
  </si>
  <si>
    <t>KISAN=2 (unstandard tf's)</t>
  </si>
  <si>
    <t>JB=1,JB/NV=1,MS=2,()unstandard tf's)</t>
  </si>
  <si>
    <t>ARD=1,DURABLE=2,JM=1,JR=6,MS=3,NUCON=4,PP=4,SARAF=2,SHIVA=1,TA=1</t>
  </si>
  <si>
    <t>MS Nuts &amp; bolts scrap</t>
  </si>
  <si>
    <t>Outlet store Bhagta Bhai Ka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</si>
  <si>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</si>
  <si>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</si>
  <si>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</si>
  <si>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</si>
  <si>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</si>
  <si>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t>DAUSA - 1, PTEL - 1, SIC-1</t>
  </si>
  <si>
    <t>SARAF - 2, PP - 1</t>
  </si>
  <si>
    <t>WNP-14 (unstandard tf's)</t>
  </si>
  <si>
    <t>WNP-7 (unstandard tf's)</t>
  </si>
  <si>
    <t>Lot no. E -13</t>
  </si>
  <si>
    <t>NPC-1,PTEL-2,JB-1</t>
  </si>
  <si>
    <t>SUSHIL-1,SIC-1</t>
  </si>
  <si>
    <t>PPI-1,NSL-1</t>
  </si>
  <si>
    <t>JB-3,ECN-1,PTEL-1,ARD-1,NPC-1</t>
  </si>
  <si>
    <t>ELECTRA-1,SCN-1</t>
  </si>
  <si>
    <t>TA-2</t>
  </si>
  <si>
    <t>HBP-2,JB-1</t>
  </si>
  <si>
    <t>200 KVA (CORE &amp; TANK)</t>
  </si>
  <si>
    <t xml:space="preserve">DTB-7,NPC-1 </t>
  </si>
  <si>
    <t>300 KVA (CORE &amp; TANK)</t>
  </si>
  <si>
    <t>MRN-1</t>
  </si>
  <si>
    <t>SHIVALIK-1</t>
  </si>
  <si>
    <t>SICL-1, AGGARWAL-1, SHIVALIK-4</t>
  </si>
  <si>
    <t>JB-1</t>
  </si>
  <si>
    <t>WNP-10  (unstandard tf's)</t>
  </si>
  <si>
    <t>WNP-5 (unstandard tf's)</t>
  </si>
  <si>
    <t>WNP-2 (unstandard tf's)</t>
  </si>
  <si>
    <t>SICL-3, PTEL-2, PP-1, JB-1, ECO-1, NBGL-1, NUCON-1, SHIVALIK-11</t>
  </si>
  <si>
    <r>
      <t xml:space="preserve">Lot No. C 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ROPAR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</si>
  <si>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</si>
  <si>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t>DS Sub Division Sub urban Kotkapura</t>
  </si>
  <si>
    <t>PB-03 A-3324</t>
  </si>
  <si>
    <t>MINI TRUCK DIESEL (1990)(MAHINDRA JEEP)</t>
  </si>
  <si>
    <t>EA-55 /PTA-2023-24</t>
  </si>
  <si>
    <t>5.12.2023</t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</si>
  <si>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</si>
  <si>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t>PTEL-3, PP-3</t>
  </si>
  <si>
    <t>SICL-2</t>
  </si>
  <si>
    <t>ECO-1, SICL-1</t>
  </si>
  <si>
    <t>Lot No B-12</t>
  </si>
  <si>
    <t xml:space="preserve">NOTE : Before lifting of Transformers (From Lot no. C-1 to C-9), HT/LT copper winding coils of transformers shall be mutilated by the purchaser. </t>
  </si>
  <si>
    <t>…….SUB URBAN  DS KOTKAPURA 96461-14931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</si>
</sst>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/mm/yyyy"/>
  </numFmts>
  <fonts count="8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b/>
      <u val="single"/>
      <sz val="11"/>
      <color indexed="8"/>
      <name val="Comic Sans MS"/>
      <family val="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b/>
      <u val="single"/>
      <sz val="11"/>
      <color theme="1"/>
      <name val="Comic Sans MS"/>
      <family val="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u val="single"/>
      <sz val="10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68" fillId="0" borderId="13" xfId="0" applyFont="1" applyFill="1" applyBorder="1" applyAlignment="1">
      <alignment horizontal="center" vertical="center" wrapText="1"/>
    </xf>
    <xf numFmtId="184" fontId="69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horizontal="left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0" fillId="0" borderId="0" xfId="0" applyAlignment="1">
      <alignment vertical="top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69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top"/>
    </xf>
    <xf numFmtId="1" fontId="75" fillId="0" borderId="0" xfId="0" applyNumberFormat="1" applyFont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76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184" fontId="71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vertical="center" wrapText="1"/>
    </xf>
    <xf numFmtId="184" fontId="76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184" fontId="71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71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84" fontId="71" fillId="0" borderId="2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84" fontId="76" fillId="0" borderId="14" xfId="0" applyNumberFormat="1" applyFont="1" applyFill="1" applyBorder="1" applyAlignment="1">
      <alignment horizontal="center" vertical="center" wrapText="1"/>
    </xf>
    <xf numFmtId="1" fontId="71" fillId="0" borderId="21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184" fontId="71" fillId="0" borderId="15" xfId="0" applyNumberFormat="1" applyFont="1" applyFill="1" applyBorder="1" applyAlignment="1">
      <alignment horizontal="center" vertical="center" wrapText="1"/>
    </xf>
    <xf numFmtId="184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84" fontId="76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 wrapText="1"/>
    </xf>
    <xf numFmtId="1" fontId="76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84" fontId="71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 vertical="top" wrapText="1"/>
    </xf>
    <xf numFmtId="184" fontId="10" fillId="0" borderId="22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184" fontId="71" fillId="0" borderId="13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top" wrapText="1"/>
    </xf>
    <xf numFmtId="184" fontId="10" fillId="0" borderId="15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184" fontId="10" fillId="0" borderId="22" xfId="0" applyNumberFormat="1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vertical="center" wrapText="1"/>
    </xf>
    <xf numFmtId="184" fontId="10" fillId="0" borderId="17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wrapText="1"/>
    </xf>
    <xf numFmtId="184" fontId="10" fillId="0" borderId="22" xfId="0" applyNumberFormat="1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/>
    </xf>
    <xf numFmtId="184" fontId="76" fillId="0" borderId="22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top" wrapText="1"/>
    </xf>
    <xf numFmtId="184" fontId="71" fillId="0" borderId="13" xfId="0" applyNumberFormat="1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184" fontId="10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81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72" fillId="0" borderId="16" xfId="0" applyFont="1" applyFill="1" applyBorder="1" applyAlignment="1">
      <alignment vertical="center"/>
    </xf>
    <xf numFmtId="0" fontId="72" fillId="0" borderId="14" xfId="0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Fill="1" applyBorder="1" applyAlignment="1">
      <alignment vertical="top"/>
    </xf>
    <xf numFmtId="0" fontId="81" fillId="0" borderId="13" xfId="0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/>
    </xf>
    <xf numFmtId="17" fontId="10" fillId="0" borderId="13" xfId="0" applyNumberFormat="1" applyFont="1" applyFill="1" applyBorder="1" applyAlignment="1">
      <alignment horizontal="center" vertical="center" wrapText="1"/>
    </xf>
    <xf numFmtId="184" fontId="71" fillId="0" borderId="24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81" fillId="0" borderId="13" xfId="0" applyFont="1" applyFill="1" applyBorder="1" applyAlignment="1">
      <alignment horizontal="center" vertical="center" wrapText="1"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0" fillId="32" borderId="13" xfId="57" applyFont="1" applyFill="1" applyBorder="1" applyAlignment="1">
      <alignment horizontal="center" vertical="center"/>
      <protection/>
    </xf>
    <xf numFmtId="2" fontId="74" fillId="0" borderId="0" xfId="0" applyNumberFormat="1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/>
    </xf>
    <xf numFmtId="184" fontId="76" fillId="0" borderId="14" xfId="0" applyNumberFormat="1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10" fillId="0" borderId="13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 wrapText="1"/>
      <protection/>
    </xf>
    <xf numFmtId="184" fontId="2" fillId="0" borderId="13" xfId="0" applyNumberFormat="1" applyFont="1" applyFill="1" applyBorder="1" applyAlignment="1">
      <alignment horizontal="center" vertical="top" wrapText="1"/>
    </xf>
    <xf numFmtId="184" fontId="71" fillId="0" borderId="15" xfId="0" applyNumberFormat="1" applyFont="1" applyFill="1" applyBorder="1" applyAlignment="1">
      <alignment horizontal="right" vertical="center" wrapText="1"/>
    </xf>
    <xf numFmtId="184" fontId="10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184" fontId="3" fillId="0" borderId="0" xfId="0" applyNumberFormat="1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top" wrapText="1"/>
    </xf>
    <xf numFmtId="184" fontId="10" fillId="0" borderId="23" xfId="0" applyNumberFormat="1" applyFont="1" applyFill="1" applyBorder="1" applyAlignment="1">
      <alignment horizontal="center" vertical="center" wrapText="1"/>
    </xf>
    <xf numFmtId="184" fontId="71" fillId="0" borderId="24" xfId="0" applyNumberFormat="1" applyFont="1" applyFill="1" applyBorder="1" applyAlignment="1">
      <alignment horizontal="center" vertical="top" wrapText="1"/>
    </xf>
    <xf numFmtId="184" fontId="71" fillId="0" borderId="25" xfId="0" applyNumberFormat="1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184" fontId="76" fillId="0" borderId="13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left" vertical="top" wrapText="1"/>
    </xf>
    <xf numFmtId="0" fontId="72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33" borderId="13" xfId="57" applyFont="1" applyFill="1" applyBorder="1" applyAlignment="1">
      <alignment horizontal="center" vertical="center"/>
      <protection/>
    </xf>
    <xf numFmtId="0" fontId="71" fillId="0" borderId="13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76" fillId="0" borderId="13" xfId="0" applyFont="1" applyBorder="1" applyAlignment="1">
      <alignment horizontal="center"/>
    </xf>
    <xf numFmtId="0" fontId="76" fillId="33" borderId="13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81" fillId="0" borderId="2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left" vertical="top" wrapText="1"/>
    </xf>
    <xf numFmtId="0" fontId="72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justify" vertical="top" wrapText="1"/>
    </xf>
    <xf numFmtId="0" fontId="72" fillId="0" borderId="22" xfId="0" applyFont="1" applyFill="1" applyBorder="1" applyAlignment="1">
      <alignment horizontal="justify" vertical="top" wrapText="1"/>
    </xf>
    <xf numFmtId="0" fontId="70" fillId="0" borderId="12" xfId="0" applyFont="1" applyFill="1" applyBorder="1" applyAlignment="1">
      <alignment horizontal="center" vertical="top" wrapText="1"/>
    </xf>
    <xf numFmtId="0" fontId="71" fillId="0" borderId="27" xfId="0" applyFont="1" applyFill="1" applyBorder="1" applyAlignment="1">
      <alignment horizontal="center" vertical="top" wrapText="1"/>
    </xf>
    <xf numFmtId="0" fontId="71" fillId="0" borderId="28" xfId="0" applyFont="1" applyFill="1" applyBorder="1" applyAlignment="1">
      <alignment horizontal="center" vertical="top" wrapText="1"/>
    </xf>
    <xf numFmtId="0" fontId="83" fillId="0" borderId="12" xfId="0" applyFont="1" applyFill="1" applyBorder="1" applyAlignment="1">
      <alignment horizontal="center" vertical="top" wrapText="1"/>
    </xf>
    <xf numFmtId="0" fontId="83" fillId="0" borderId="17" xfId="0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1" fillId="0" borderId="29" xfId="0" applyFont="1" applyFill="1" applyBorder="1" applyAlignment="1">
      <alignment horizontal="center" vertical="top" wrapText="1"/>
    </xf>
    <xf numFmtId="0" fontId="71" fillId="0" borderId="30" xfId="0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horizontal="left" vertical="top" wrapText="1"/>
    </xf>
    <xf numFmtId="0" fontId="70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justify" vertical="top" wrapText="1"/>
    </xf>
    <xf numFmtId="0" fontId="72" fillId="0" borderId="16" xfId="0" applyFont="1" applyFill="1" applyBorder="1" applyAlignment="1">
      <alignment horizontal="justify" vertical="top" wrapText="1"/>
    </xf>
    <xf numFmtId="0" fontId="72" fillId="0" borderId="14" xfId="0" applyFont="1" applyFill="1" applyBorder="1" applyAlignment="1">
      <alignment horizontal="justify" vertical="top" wrapText="1"/>
    </xf>
    <xf numFmtId="0" fontId="70" fillId="0" borderId="15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vertical="center" wrapText="1"/>
    </xf>
    <xf numFmtId="0" fontId="72" fillId="0" borderId="15" xfId="0" applyFont="1" applyFill="1" applyBorder="1" applyAlignment="1">
      <alignment horizontal="left" vertical="center"/>
    </xf>
    <xf numFmtId="0" fontId="72" fillId="0" borderId="16" xfId="0" applyFont="1" applyFill="1" applyBorder="1" applyAlignment="1">
      <alignment horizontal="left" vertical="center"/>
    </xf>
    <xf numFmtId="0" fontId="72" fillId="0" borderId="14" xfId="0" applyFont="1" applyFill="1" applyBorder="1" applyAlignment="1">
      <alignment horizontal="left" vertical="center"/>
    </xf>
    <xf numFmtId="0" fontId="70" fillId="0" borderId="17" xfId="0" applyFont="1" applyFill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vertical="top" wrapText="1"/>
    </xf>
    <xf numFmtId="0" fontId="71" fillId="0" borderId="29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left" wrapText="1"/>
    </xf>
    <xf numFmtId="0" fontId="70" fillId="0" borderId="16" xfId="0" applyFont="1" applyFill="1" applyBorder="1" applyAlignment="1">
      <alignment horizontal="left" wrapText="1"/>
    </xf>
    <xf numFmtId="0" fontId="70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7"/>
  <sheetViews>
    <sheetView tabSelected="1" view="pageBreakPreview" zoomScaleNormal="70" zoomScaleSheetLayoutView="100" zoomScalePageLayoutView="70" workbookViewId="0" topLeftCell="A4">
      <selection activeCell="H415" sqref="H415"/>
    </sheetView>
  </sheetViews>
  <sheetFormatPr defaultColWidth="9.140625" defaultRowHeight="12.75"/>
  <cols>
    <col min="1" max="1" width="16.140625" style="6" customWidth="1"/>
    <col min="2" max="2" width="15.421875" style="3" customWidth="1"/>
    <col min="3" max="3" width="25.8515625" style="4" customWidth="1"/>
    <col min="4" max="4" width="70.421875" style="4" customWidth="1"/>
    <col min="5" max="5" width="29.00390625" style="3" customWidth="1"/>
    <col min="6" max="6" width="9.140625" style="1" hidden="1" customWidth="1"/>
    <col min="7" max="7" width="87.421875" style="1" hidden="1" customWidth="1"/>
    <col min="8" max="8" width="159.57421875" style="139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288" t="s">
        <v>73</v>
      </c>
      <c r="B1" s="289"/>
      <c r="C1" s="289"/>
      <c r="D1" s="289"/>
      <c r="E1" s="289"/>
    </row>
    <row r="2" spans="1:4" ht="19.5" customHeight="1">
      <c r="A2" s="290" t="s">
        <v>9</v>
      </c>
      <c r="B2" s="291"/>
      <c r="C2" s="291"/>
      <c r="D2" s="5" t="s">
        <v>368</v>
      </c>
    </row>
    <row r="3" spans="1:4" ht="16.5" customHeight="1">
      <c r="A3" s="290" t="s">
        <v>10</v>
      </c>
      <c r="B3" s="291"/>
      <c r="C3" s="291"/>
      <c r="D3" s="5" t="s">
        <v>369</v>
      </c>
    </row>
    <row r="4" spans="1:5" ht="31.5" customHeight="1">
      <c r="A4" s="292" t="s">
        <v>234</v>
      </c>
      <c r="B4" s="293"/>
      <c r="C4" s="293"/>
      <c r="D4" s="293"/>
      <c r="E4" s="293"/>
    </row>
    <row r="5" spans="1:6" ht="19.5" customHeight="1">
      <c r="A5" s="286" t="s">
        <v>0</v>
      </c>
      <c r="B5" s="287"/>
      <c r="C5" s="287"/>
      <c r="D5" s="287"/>
      <c r="E5" s="81" t="s">
        <v>7</v>
      </c>
      <c r="F5" s="177"/>
    </row>
    <row r="6" spans="1:8" ht="17.25" customHeight="1">
      <c r="A6" s="232" t="s">
        <v>75</v>
      </c>
      <c r="B6" s="233"/>
      <c r="C6" s="231" t="s">
        <v>141</v>
      </c>
      <c r="D6" s="231"/>
      <c r="E6" s="52">
        <v>1.396</v>
      </c>
      <c r="H6" s="131" t="str">
        <f>CONCATENATE("Aluminium Conductor Steel Reinforced scrap, Lying at ",C6,". Quantity in MT - ",E6,)</f>
        <v>Aluminium Conductor Steel Reinforced scrap, Lying at Outlet store Shri Muktsar sahib. Quantity in MT - 1.396</v>
      </c>
    </row>
    <row r="7" spans="1:8" ht="17.25" customHeight="1">
      <c r="A7" s="232" t="s">
        <v>116</v>
      </c>
      <c r="B7" s="233"/>
      <c r="C7" s="231" t="s">
        <v>198</v>
      </c>
      <c r="D7" s="231"/>
      <c r="E7" s="52">
        <v>8.871</v>
      </c>
      <c r="H7" s="131" t="str">
        <f aca="true" t="shared" si="0" ref="H7:H18">CONCATENATE("Aluminium Conductor Steel Reinforced scrap, Lying at ",C7,". Quantity in MT - ",E7,)</f>
        <v>Aluminium Conductor Steel Reinforced scrap, Lying at CS Kotkapura  (.237 MT Intermingle). Quantity in MT - 8.871</v>
      </c>
    </row>
    <row r="8" spans="1:8" ht="17.25" customHeight="1">
      <c r="A8" s="232" t="s">
        <v>162</v>
      </c>
      <c r="B8" s="233"/>
      <c r="C8" s="231" t="s">
        <v>178</v>
      </c>
      <c r="D8" s="231"/>
      <c r="E8" s="52">
        <v>3.944</v>
      </c>
      <c r="H8" s="131" t="str">
        <f t="shared" si="0"/>
        <v>Aluminium Conductor Steel Reinforced scrap, Lying at Outlet store Malerkotla. Quantity in MT - 3.944</v>
      </c>
    </row>
    <row r="9" spans="1:8" ht="17.25" customHeight="1">
      <c r="A9" s="232" t="s">
        <v>177</v>
      </c>
      <c r="B9" s="233"/>
      <c r="C9" s="231" t="s">
        <v>180</v>
      </c>
      <c r="D9" s="231"/>
      <c r="E9" s="52">
        <v>9.945</v>
      </c>
      <c r="H9" s="131" t="str">
        <f t="shared" si="0"/>
        <v>Aluminium Conductor Steel Reinforced scrap, Lying at Outlet store Patran. Quantity in MT - 9.945</v>
      </c>
    </row>
    <row r="10" spans="1:8" ht="17.25" customHeight="1">
      <c r="A10" s="232" t="s">
        <v>163</v>
      </c>
      <c r="B10" s="233"/>
      <c r="C10" s="231" t="s">
        <v>232</v>
      </c>
      <c r="D10" s="231"/>
      <c r="E10" s="52">
        <v>9.264</v>
      </c>
      <c r="H10" s="131" t="str">
        <f t="shared" si="0"/>
        <v>Aluminium Conductor Steel Reinforced scrap, Lying at CS Patiala (.013 MT Intermingle). Quantity in MT - 9.264</v>
      </c>
    </row>
    <row r="11" spans="1:8" ht="17.25" customHeight="1">
      <c r="A11" s="232" t="s">
        <v>179</v>
      </c>
      <c r="B11" s="233"/>
      <c r="C11" s="231" t="s">
        <v>230</v>
      </c>
      <c r="D11" s="231"/>
      <c r="E11" s="52">
        <v>2.34</v>
      </c>
      <c r="G11" s="139"/>
      <c r="H11" s="131" t="str">
        <f t="shared" si="0"/>
        <v>Aluminium Conductor Steel Reinforced scrap, Lying at Outlet store Nabha. Quantity in MT - 2.34</v>
      </c>
    </row>
    <row r="12" spans="1:8" ht="17.25" customHeight="1">
      <c r="A12" s="232" t="s">
        <v>164</v>
      </c>
      <c r="B12" s="233"/>
      <c r="C12" s="231" t="s">
        <v>231</v>
      </c>
      <c r="D12" s="231"/>
      <c r="E12" s="181">
        <v>1.473</v>
      </c>
      <c r="H12" s="131" t="str">
        <f t="shared" si="0"/>
        <v>Aluminium Conductor Steel Reinforced scrap, Lying at Outlet store Rajpura. Quantity in MT - 1.473</v>
      </c>
    </row>
    <row r="13" spans="1:8" ht="17.25" customHeight="1">
      <c r="A13" s="232" t="s">
        <v>199</v>
      </c>
      <c r="B13" s="233"/>
      <c r="C13" s="231" t="s">
        <v>184</v>
      </c>
      <c r="D13" s="231"/>
      <c r="E13" s="52">
        <v>5.614</v>
      </c>
      <c r="H13" s="131" t="str">
        <f t="shared" si="0"/>
        <v>Aluminium Conductor Steel Reinforced scrap, Lying at Outlet store Mansa. Quantity in MT - 5.614</v>
      </c>
    </row>
    <row r="14" spans="1:8" ht="17.25" customHeight="1">
      <c r="A14" s="232" t="s">
        <v>181</v>
      </c>
      <c r="B14" s="233"/>
      <c r="C14" s="231" t="s">
        <v>319</v>
      </c>
      <c r="D14" s="231"/>
      <c r="E14" s="52">
        <v>2.19</v>
      </c>
      <c r="H14" s="131" t="str">
        <f t="shared" si="0"/>
        <v>Aluminium Conductor Steel Reinforced scrap, Lying at CS Mohali (.314 MT intermingle). Quantity in MT - 2.19</v>
      </c>
    </row>
    <row r="15" spans="1:8" ht="17.25" customHeight="1">
      <c r="A15" s="232" t="s">
        <v>182</v>
      </c>
      <c r="B15" s="233"/>
      <c r="C15" s="231" t="s">
        <v>183</v>
      </c>
      <c r="D15" s="231"/>
      <c r="E15" s="52">
        <v>2.101</v>
      </c>
      <c r="H15" s="131" t="str">
        <f t="shared" si="0"/>
        <v>Aluminium Conductor Steel Reinforced scrap, Lying at Outlet store Ropar. Quantity in MT - 2.101</v>
      </c>
    </row>
    <row r="16" spans="1:8" ht="17.25" customHeight="1">
      <c r="A16" s="232" t="s">
        <v>201</v>
      </c>
      <c r="B16" s="233"/>
      <c r="C16" s="231" t="s">
        <v>268</v>
      </c>
      <c r="D16" s="231"/>
      <c r="E16" s="52">
        <v>0.796</v>
      </c>
      <c r="H16" s="131" t="str">
        <f t="shared" si="0"/>
        <v>Aluminium Conductor Steel Reinforced scrap, Lying at Outlet store Fazilka. Quantity in MT - 0.796</v>
      </c>
    </row>
    <row r="17" spans="1:8" ht="17.25" customHeight="1">
      <c r="A17" s="232" t="s">
        <v>274</v>
      </c>
      <c r="B17" s="233"/>
      <c r="C17" s="231" t="s">
        <v>64</v>
      </c>
      <c r="D17" s="231"/>
      <c r="E17" s="52">
        <v>2.025</v>
      </c>
      <c r="H17" s="131" t="str">
        <f t="shared" si="0"/>
        <v>Aluminium Conductor Steel Reinforced scrap, Lying at CS Bathinda. Quantity in MT - 2.025</v>
      </c>
    </row>
    <row r="18" spans="1:8" ht="17.25" customHeight="1" thickBot="1">
      <c r="A18" s="232" t="s">
        <v>320</v>
      </c>
      <c r="B18" s="233"/>
      <c r="C18" s="231" t="s">
        <v>334</v>
      </c>
      <c r="D18" s="231"/>
      <c r="E18" s="181">
        <v>0.822</v>
      </c>
      <c r="H18" s="131" t="str">
        <f t="shared" si="0"/>
        <v>Aluminium Conductor Steel Reinforced scrap, Lying at Outlet store Bhagta Bhai Ka. Quantity in MT - 0.822</v>
      </c>
    </row>
    <row r="19" spans="1:5" ht="17.25" customHeight="1" thickBot="1">
      <c r="A19" s="277" t="s">
        <v>115</v>
      </c>
      <c r="B19" s="278"/>
      <c r="C19" s="276"/>
      <c r="D19" s="276"/>
      <c r="E19" s="183">
        <f>SUM(E6:E18)</f>
        <v>50.781</v>
      </c>
    </row>
    <row r="20" spans="1:5" ht="17.25" customHeight="1">
      <c r="A20" s="179"/>
      <c r="B20" s="179"/>
      <c r="C20" s="180"/>
      <c r="D20" s="279"/>
      <c r="E20" s="280"/>
    </row>
    <row r="21" spans="1:5" ht="17.25" customHeight="1">
      <c r="A21" s="286" t="s">
        <v>12</v>
      </c>
      <c r="B21" s="287"/>
      <c r="C21" s="287"/>
      <c r="D21" s="287"/>
      <c r="E21" s="81" t="s">
        <v>7</v>
      </c>
    </row>
    <row r="22" spans="1:8" ht="17.25" customHeight="1">
      <c r="A22" s="232" t="s">
        <v>74</v>
      </c>
      <c r="B22" s="233"/>
      <c r="C22" s="231" t="s">
        <v>133</v>
      </c>
      <c r="D22" s="231"/>
      <c r="E22" s="92">
        <v>18.907</v>
      </c>
      <c r="H22" s="131" t="str">
        <f>CONCATENATE("Damaged Distribution Transformer's HT/LT Aluminium coils scrap with insulation, Lying at ",C22,". Quantity in MT - ",E22,)</f>
        <v>Damaged Distribution Transformer's HT/LT Aluminium coils scrap with insulation, Lying at TRY Bhagta Bhai Ka. Quantity in MT - 18.907</v>
      </c>
    </row>
    <row r="23" spans="1:8" ht="17.25" customHeight="1">
      <c r="A23" s="232" t="s">
        <v>124</v>
      </c>
      <c r="B23" s="233"/>
      <c r="C23" s="231" t="s">
        <v>28</v>
      </c>
      <c r="D23" s="231"/>
      <c r="E23" s="92">
        <v>8.316</v>
      </c>
      <c r="H23" s="131" t="str">
        <f aca="true" t="shared" si="1" ref="H23:H34">CONCATENATE("Damaged Distribution Transformer's HT/LT Aluminium coils scrap with insulation, Lying at ",C23,". Quantity in MT - ",E23,)</f>
        <v>Damaged Distribution Transformer's HT/LT Aluminium coils scrap with insulation, Lying at TRY Malerkotla. Quantity in MT - 8.316</v>
      </c>
    </row>
    <row r="24" spans="1:8" ht="17.25" customHeight="1">
      <c r="A24" s="232" t="s">
        <v>125</v>
      </c>
      <c r="B24" s="233"/>
      <c r="C24" s="231" t="s">
        <v>137</v>
      </c>
      <c r="D24" s="231"/>
      <c r="E24" s="92">
        <v>14.066</v>
      </c>
      <c r="H24" s="131" t="str">
        <f t="shared" si="1"/>
        <v>Damaged Distribution Transformer's HT/LT Aluminium coils scrap with insulation, Lying at TRY Patran. Quantity in MT - 14.066</v>
      </c>
    </row>
    <row r="25" spans="1:8" ht="17.25" customHeight="1">
      <c r="A25" s="232" t="s">
        <v>202</v>
      </c>
      <c r="B25" s="233"/>
      <c r="C25" s="231" t="s">
        <v>249</v>
      </c>
      <c r="D25" s="231"/>
      <c r="E25" s="92">
        <v>10.362</v>
      </c>
      <c r="H25" s="131" t="str">
        <f t="shared" si="1"/>
        <v>Damaged Distribution Transformer's HT/LT Aluminium coils scrap with insulation, Lying at TRY Kotkapura. Quantity in MT - 10.362</v>
      </c>
    </row>
    <row r="26" spans="1:8" ht="17.25" customHeight="1">
      <c r="A26" s="232" t="s">
        <v>157</v>
      </c>
      <c r="B26" s="233"/>
      <c r="C26" s="231" t="s">
        <v>249</v>
      </c>
      <c r="D26" s="231"/>
      <c r="E26" s="92">
        <v>10</v>
      </c>
      <c r="H26" s="131" t="str">
        <f t="shared" si="1"/>
        <v>Damaged Distribution Transformer's HT/LT Aluminium coils scrap with insulation, Lying at TRY Kotkapura. Quantity in MT - 10</v>
      </c>
    </row>
    <row r="27" spans="1:8" ht="17.25" customHeight="1">
      <c r="A27" s="232" t="s">
        <v>185</v>
      </c>
      <c r="B27" s="233"/>
      <c r="C27" s="231" t="s">
        <v>249</v>
      </c>
      <c r="D27" s="231"/>
      <c r="E27" s="92">
        <v>10</v>
      </c>
      <c r="H27" s="131" t="str">
        <f t="shared" si="1"/>
        <v>Damaged Distribution Transformer's HT/LT Aluminium coils scrap with insulation, Lying at TRY Kotkapura. Quantity in MT - 10</v>
      </c>
    </row>
    <row r="28" spans="1:8" ht="17.25" customHeight="1">
      <c r="A28" s="232" t="s">
        <v>250</v>
      </c>
      <c r="B28" s="233"/>
      <c r="C28" s="231" t="s">
        <v>165</v>
      </c>
      <c r="D28" s="231"/>
      <c r="E28" s="92">
        <v>3.817</v>
      </c>
      <c r="H28" s="131" t="str">
        <f t="shared" si="1"/>
        <v>Damaged Distribution Transformer's HT/LT Aluminium coils scrap with insulation, Lying at TRY Malout. Quantity in MT - 3.817</v>
      </c>
    </row>
    <row r="29" spans="1:8" ht="17.25" customHeight="1">
      <c r="A29" s="232" t="s">
        <v>166</v>
      </c>
      <c r="B29" s="233"/>
      <c r="C29" s="231" t="s">
        <v>167</v>
      </c>
      <c r="D29" s="231"/>
      <c r="E29" s="92">
        <v>28.947</v>
      </c>
      <c r="H29" s="131" t="str">
        <f t="shared" si="1"/>
        <v>Damaged Distribution Transformer's HT/LT Aluminium coils scrap with insulation, Lying at TRY Mansa. Quantity in MT - 28.947</v>
      </c>
    </row>
    <row r="30" spans="1:8" ht="17.25" customHeight="1">
      <c r="A30" s="232" t="s">
        <v>252</v>
      </c>
      <c r="B30" s="233"/>
      <c r="C30" s="231" t="s">
        <v>220</v>
      </c>
      <c r="D30" s="231"/>
      <c r="E30" s="92">
        <v>4.858</v>
      </c>
      <c r="H30" s="131" t="str">
        <f t="shared" si="1"/>
        <v>Damaged Distribution Transformer's HT/LT Aluminium coils scrap with insulation, Lying at TRY Moga. Quantity in MT - 4.858</v>
      </c>
    </row>
    <row r="31" spans="1:8" ht="17.25" customHeight="1">
      <c r="A31" s="232" t="s">
        <v>269</v>
      </c>
      <c r="B31" s="233"/>
      <c r="C31" s="231" t="s">
        <v>136</v>
      </c>
      <c r="D31" s="231"/>
      <c r="E31" s="92">
        <v>12.273</v>
      </c>
      <c r="H31" s="131" t="str">
        <f t="shared" si="1"/>
        <v>Damaged Distribution Transformer's HT/LT Aluminium coils scrap with insulation, Lying at TRY Sangrur. Quantity in MT - 12.273</v>
      </c>
    </row>
    <row r="32" spans="1:8" ht="17.25" customHeight="1">
      <c r="A32" s="232" t="s">
        <v>270</v>
      </c>
      <c r="B32" s="233"/>
      <c r="C32" s="231" t="s">
        <v>140</v>
      </c>
      <c r="D32" s="231"/>
      <c r="E32" s="92">
        <v>3.352</v>
      </c>
      <c r="H32" s="131" t="str">
        <f t="shared" si="1"/>
        <v>Damaged Distribution Transformer's HT/LT Aluminium coils scrap with insulation, Lying at TRY Ropar. Quantity in MT - 3.352</v>
      </c>
    </row>
    <row r="33" spans="1:8" ht="17.25" customHeight="1">
      <c r="A33" s="232" t="s">
        <v>374</v>
      </c>
      <c r="B33" s="233"/>
      <c r="C33" s="231" t="s">
        <v>36</v>
      </c>
      <c r="D33" s="231"/>
      <c r="E33" s="92">
        <v>6.977</v>
      </c>
      <c r="H33" s="131" t="str">
        <f t="shared" si="1"/>
        <v>Damaged Distribution Transformer's HT/LT Aluminium coils scrap with insulation, Lying at TRY Bathinda. Quantity in MT - 6.977</v>
      </c>
    </row>
    <row r="34" spans="1:8" ht="17.25" customHeight="1" thickBot="1">
      <c r="A34" s="232" t="s">
        <v>271</v>
      </c>
      <c r="B34" s="233"/>
      <c r="C34" s="231" t="s">
        <v>122</v>
      </c>
      <c r="D34" s="231"/>
      <c r="E34" s="92">
        <v>6.075</v>
      </c>
      <c r="H34" s="131" t="str">
        <f t="shared" si="1"/>
        <v>Damaged Distribution Transformer's HT/LT Aluminium coils scrap with insulation, Lying at TRY Patiala. Quantity in MT - 6.075</v>
      </c>
    </row>
    <row r="35" spans="1:5" ht="17.25" customHeight="1" thickBot="1">
      <c r="A35" s="284" t="s">
        <v>115</v>
      </c>
      <c r="B35" s="285"/>
      <c r="C35" s="306"/>
      <c r="D35" s="307"/>
      <c r="E35" s="182">
        <f>SUM(E22:E34)</f>
        <v>137.95000000000002</v>
      </c>
    </row>
    <row r="36" spans="1:8" ht="17.25" customHeight="1">
      <c r="A36" s="270"/>
      <c r="B36" s="270"/>
      <c r="C36" s="270"/>
      <c r="D36" s="270"/>
      <c r="E36" s="271"/>
      <c r="H36" s="160"/>
    </row>
    <row r="37" spans="1:6" ht="17.25" customHeight="1">
      <c r="A37" s="274" t="s">
        <v>109</v>
      </c>
      <c r="B37" s="274"/>
      <c r="C37" s="274"/>
      <c r="D37" s="274"/>
      <c r="E37" s="275"/>
      <c r="F37" s="1" t="e">
        <f>B55+B69+B90+B102+B121+B135+#REF!+#REF!+#REF!+#REF!+B152+B167</f>
        <v>#REF!</v>
      </c>
    </row>
    <row r="38" spans="1:5" ht="17.25" customHeight="1">
      <c r="A38" s="272" t="s">
        <v>375</v>
      </c>
      <c r="B38" s="273"/>
      <c r="C38" s="273"/>
      <c r="D38" s="273"/>
      <c r="E38" s="273"/>
    </row>
    <row r="39" spans="1:5" ht="17.25" customHeight="1">
      <c r="A39" s="124"/>
      <c r="B39" s="125"/>
      <c r="C39" s="125"/>
      <c r="D39" s="125"/>
      <c r="E39" s="125"/>
    </row>
    <row r="40" spans="1:5" ht="29.25" customHeight="1">
      <c r="A40" s="232" t="s">
        <v>244</v>
      </c>
      <c r="B40" s="243"/>
      <c r="C40" s="243"/>
      <c r="D40" s="243"/>
      <c r="E40" s="233"/>
    </row>
    <row r="41" spans="1:5" ht="24.75" customHeight="1">
      <c r="A41" s="27" t="s">
        <v>210</v>
      </c>
      <c r="B41" s="27" t="s">
        <v>211</v>
      </c>
      <c r="C41" s="27" t="s">
        <v>212</v>
      </c>
      <c r="D41" s="27" t="s">
        <v>213</v>
      </c>
      <c r="E41" s="119" t="s">
        <v>214</v>
      </c>
    </row>
    <row r="42" spans="1:6" ht="17.25" customHeight="1">
      <c r="A42" s="240" t="s">
        <v>215</v>
      </c>
      <c r="B42" s="241"/>
      <c r="C42" s="242"/>
      <c r="D42" s="90"/>
      <c r="E42" s="109"/>
      <c r="F42" s="1">
        <f>B43+B44+B45+B46+B47+B49+B50+B51+B52+B53</f>
        <v>249</v>
      </c>
    </row>
    <row r="43" spans="1:5" ht="17.25" customHeight="1">
      <c r="A43" s="162">
        <v>90</v>
      </c>
      <c r="B43" s="163">
        <v>27</v>
      </c>
      <c r="C43" s="163" t="s">
        <v>216</v>
      </c>
      <c r="D43" s="162" t="s">
        <v>217</v>
      </c>
      <c r="E43" s="163">
        <v>1301</v>
      </c>
    </row>
    <row r="44" spans="1:5" ht="17.25" customHeight="1">
      <c r="A44" s="162">
        <v>91</v>
      </c>
      <c r="B44" s="163">
        <v>25</v>
      </c>
      <c r="C44" s="163" t="s">
        <v>216</v>
      </c>
      <c r="D44" s="162" t="s">
        <v>218</v>
      </c>
      <c r="E44" s="163">
        <v>1214</v>
      </c>
    </row>
    <row r="45" spans="1:5" ht="17.25" customHeight="1">
      <c r="A45" s="162">
        <v>92</v>
      </c>
      <c r="B45" s="163">
        <v>14</v>
      </c>
      <c r="C45" s="163" t="s">
        <v>216</v>
      </c>
      <c r="D45" s="162" t="s">
        <v>219</v>
      </c>
      <c r="E45" s="163">
        <v>678</v>
      </c>
    </row>
    <row r="46" spans="1:5" ht="17.25" customHeight="1">
      <c r="A46" s="162">
        <v>93</v>
      </c>
      <c r="B46" s="163">
        <v>25</v>
      </c>
      <c r="C46" s="163" t="s">
        <v>216</v>
      </c>
      <c r="D46" s="162" t="s">
        <v>225</v>
      </c>
      <c r="E46" s="163">
        <v>1201</v>
      </c>
    </row>
    <row r="47" spans="1:5" ht="17.25" customHeight="1">
      <c r="A47" s="162">
        <v>94</v>
      </c>
      <c r="B47" s="163">
        <v>18</v>
      </c>
      <c r="C47" s="163" t="s">
        <v>216</v>
      </c>
      <c r="D47" s="162" t="s">
        <v>226</v>
      </c>
      <c r="E47" s="163">
        <v>835</v>
      </c>
    </row>
    <row r="48" spans="1:5" ht="91.5" customHeight="1">
      <c r="A48" s="162">
        <v>95</v>
      </c>
      <c r="B48" s="163">
        <v>20</v>
      </c>
      <c r="C48" s="200" t="s">
        <v>242</v>
      </c>
      <c r="D48" s="172" t="s">
        <v>259</v>
      </c>
      <c r="E48" s="171">
        <v>4276</v>
      </c>
    </row>
    <row r="49" spans="1:5" ht="17.25" customHeight="1">
      <c r="A49" s="162">
        <v>96</v>
      </c>
      <c r="B49" s="163">
        <v>27</v>
      </c>
      <c r="C49" s="164" t="s">
        <v>216</v>
      </c>
      <c r="D49" s="162" t="s">
        <v>260</v>
      </c>
      <c r="E49" s="171">
        <v>1303</v>
      </c>
    </row>
    <row r="50" spans="1:5" ht="17.25" customHeight="1">
      <c r="A50" s="162">
        <v>97</v>
      </c>
      <c r="B50" s="163">
        <v>26</v>
      </c>
      <c r="C50" s="164" t="s">
        <v>216</v>
      </c>
      <c r="D50" s="162" t="s">
        <v>261</v>
      </c>
      <c r="E50" s="171">
        <v>1209</v>
      </c>
    </row>
    <row r="51" spans="1:5" ht="17.25" customHeight="1">
      <c r="A51" s="162">
        <v>98</v>
      </c>
      <c r="B51" s="163">
        <v>27</v>
      </c>
      <c r="C51" s="164" t="s">
        <v>224</v>
      </c>
      <c r="D51" s="172" t="s">
        <v>260</v>
      </c>
      <c r="E51" s="163">
        <v>1286</v>
      </c>
    </row>
    <row r="52" spans="1:5" ht="17.25" customHeight="1">
      <c r="A52" s="162">
        <v>99</v>
      </c>
      <c r="B52" s="163">
        <v>30</v>
      </c>
      <c r="C52" s="164" t="s">
        <v>224</v>
      </c>
      <c r="D52" s="172" t="s">
        <v>262</v>
      </c>
      <c r="E52" s="163">
        <v>1365</v>
      </c>
    </row>
    <row r="53" spans="1:5" ht="17.25" customHeight="1">
      <c r="A53" s="162">
        <v>100</v>
      </c>
      <c r="B53" s="163">
        <v>30</v>
      </c>
      <c r="C53" s="164" t="s">
        <v>224</v>
      </c>
      <c r="D53" s="172" t="s">
        <v>262</v>
      </c>
      <c r="E53" s="163">
        <v>1374</v>
      </c>
    </row>
    <row r="54" spans="1:5" ht="17.25" customHeight="1">
      <c r="A54" s="120"/>
      <c r="B54" s="121">
        <f>SUM(B43:B53)</f>
        <v>269</v>
      </c>
      <c r="C54" s="121">
        <f>B54-20</f>
        <v>249</v>
      </c>
      <c r="D54" s="121"/>
      <c r="E54" s="121">
        <f>SUM(E43:E53)</f>
        <v>16042</v>
      </c>
    </row>
    <row r="55" spans="1:5" ht="17.25" customHeight="1">
      <c r="A55" s="90" t="s">
        <v>14</v>
      </c>
      <c r="B55" s="121">
        <f>B54</f>
        <v>269</v>
      </c>
      <c r="C55" s="121"/>
      <c r="D55" s="121"/>
      <c r="E55" s="121">
        <f>E54</f>
        <v>16042</v>
      </c>
    </row>
    <row r="56" spans="1:5" ht="17.25" customHeight="1">
      <c r="A56" s="109"/>
      <c r="B56" s="122"/>
      <c r="C56" s="122"/>
      <c r="D56" s="122"/>
      <c r="E56" s="122"/>
    </row>
    <row r="57" spans="1:5" ht="27.75" customHeight="1">
      <c r="A57" s="232" t="s">
        <v>337</v>
      </c>
      <c r="B57" s="243"/>
      <c r="C57" s="243"/>
      <c r="D57" s="243"/>
      <c r="E57" s="243"/>
    </row>
    <row r="58" spans="1:5" ht="24.75" customHeight="1">
      <c r="A58" s="27" t="s">
        <v>210</v>
      </c>
      <c r="B58" s="27" t="s">
        <v>211</v>
      </c>
      <c r="C58" s="27" t="s">
        <v>212</v>
      </c>
      <c r="D58" s="27" t="s">
        <v>213</v>
      </c>
      <c r="E58" s="119" t="s">
        <v>214</v>
      </c>
    </row>
    <row r="59" spans="1:5" ht="17.25" customHeight="1">
      <c r="A59" s="240" t="s">
        <v>222</v>
      </c>
      <c r="B59" s="241"/>
      <c r="C59" s="242"/>
      <c r="D59" s="27"/>
      <c r="E59" s="119"/>
    </row>
    <row r="60" spans="1:5" ht="17.25" customHeight="1">
      <c r="A60" s="158" t="s">
        <v>288</v>
      </c>
      <c r="B60" s="153">
        <v>7</v>
      </c>
      <c r="C60" s="153" t="s">
        <v>227</v>
      </c>
      <c r="D60" s="153" t="s">
        <v>289</v>
      </c>
      <c r="E60" s="153">
        <v>780</v>
      </c>
    </row>
    <row r="61" spans="1:5" ht="17.25" customHeight="1">
      <c r="A61" s="161"/>
      <c r="B61" s="123">
        <f>SUM(B60:B60)</f>
        <v>7</v>
      </c>
      <c r="C61" s="123"/>
      <c r="D61" s="123"/>
      <c r="E61" s="123">
        <f>SUM(E60:E60)</f>
        <v>780</v>
      </c>
    </row>
    <row r="62" spans="1:5" ht="17.25" customHeight="1">
      <c r="A62" s="240" t="s">
        <v>215</v>
      </c>
      <c r="B62" s="241"/>
      <c r="C62" s="242"/>
      <c r="D62" s="39"/>
      <c r="E62" s="39"/>
    </row>
    <row r="63" spans="1:5" ht="17.25" customHeight="1">
      <c r="A63" s="158" t="s">
        <v>290</v>
      </c>
      <c r="B63" s="153">
        <v>4</v>
      </c>
      <c r="C63" s="157" t="s">
        <v>233</v>
      </c>
      <c r="D63" s="153" t="s">
        <v>291</v>
      </c>
      <c r="E63" s="153">
        <v>466</v>
      </c>
    </row>
    <row r="64" spans="1:5" ht="17.25" customHeight="1">
      <c r="A64" s="158" t="s">
        <v>290</v>
      </c>
      <c r="B64" s="153">
        <v>1</v>
      </c>
      <c r="C64" s="157" t="s">
        <v>242</v>
      </c>
      <c r="D64" s="153" t="s">
        <v>267</v>
      </c>
      <c r="E64" s="153">
        <v>220</v>
      </c>
    </row>
    <row r="65" spans="1:5" ht="17.25" customHeight="1">
      <c r="A65" s="158" t="s">
        <v>290</v>
      </c>
      <c r="B65" s="153">
        <v>1</v>
      </c>
      <c r="C65" s="157" t="s">
        <v>246</v>
      </c>
      <c r="D65" s="153" t="s">
        <v>292</v>
      </c>
      <c r="E65" s="153">
        <v>295</v>
      </c>
    </row>
    <row r="66" spans="1:5" ht="17.25" customHeight="1">
      <c r="A66" s="158" t="s">
        <v>293</v>
      </c>
      <c r="B66" s="153">
        <v>1</v>
      </c>
      <c r="C66" s="153" t="s">
        <v>227</v>
      </c>
      <c r="D66" s="46" t="s">
        <v>247</v>
      </c>
      <c r="E66" s="153">
        <v>87</v>
      </c>
    </row>
    <row r="67" spans="1:5" ht="17.25" customHeight="1">
      <c r="A67" s="158" t="s">
        <v>294</v>
      </c>
      <c r="B67" s="153">
        <v>1</v>
      </c>
      <c r="C67" s="157" t="s">
        <v>233</v>
      </c>
      <c r="D67" s="46" t="s">
        <v>247</v>
      </c>
      <c r="E67" s="153">
        <v>115</v>
      </c>
    </row>
    <row r="68" spans="1:5" ht="17.25" customHeight="1">
      <c r="A68" s="27"/>
      <c r="B68" s="90">
        <f>SUM(B63:B67)</f>
        <v>8</v>
      </c>
      <c r="C68" s="90"/>
      <c r="D68" s="90"/>
      <c r="E68" s="90">
        <f>SUM(E63:E67)</f>
        <v>1183</v>
      </c>
    </row>
    <row r="69" spans="1:5" ht="17.25" customHeight="1">
      <c r="A69" s="90" t="s">
        <v>14</v>
      </c>
      <c r="B69" s="121">
        <f>B61+B68</f>
        <v>15</v>
      </c>
      <c r="C69" s="121"/>
      <c r="D69" s="121"/>
      <c r="E69" s="121">
        <f>E61+E68</f>
        <v>1963</v>
      </c>
    </row>
    <row r="70" spans="1:5" ht="17.25" customHeight="1">
      <c r="A70" s="109"/>
      <c r="B70" s="122"/>
      <c r="C70" s="128"/>
      <c r="D70" s="121"/>
      <c r="E70" s="121"/>
    </row>
    <row r="71" spans="1:5" ht="27" customHeight="1">
      <c r="A71" s="232" t="s">
        <v>338</v>
      </c>
      <c r="B71" s="243"/>
      <c r="C71" s="243"/>
      <c r="D71" s="243"/>
      <c r="E71" s="243"/>
    </row>
    <row r="72" spans="1:5" ht="21" customHeight="1">
      <c r="A72" s="27" t="s">
        <v>210</v>
      </c>
      <c r="B72" s="27" t="s">
        <v>211</v>
      </c>
      <c r="C72" s="27" t="s">
        <v>212</v>
      </c>
      <c r="D72" s="27" t="s">
        <v>213</v>
      </c>
      <c r="E72" s="119" t="s">
        <v>214</v>
      </c>
    </row>
    <row r="73" spans="1:5" ht="17.25" customHeight="1">
      <c r="A73" s="240" t="s">
        <v>222</v>
      </c>
      <c r="B73" s="241"/>
      <c r="C73" s="242"/>
      <c r="D73" s="27"/>
      <c r="E73" s="119"/>
    </row>
    <row r="74" spans="1:5" ht="17.25" customHeight="1">
      <c r="A74" s="87" t="s">
        <v>307</v>
      </c>
      <c r="B74" s="127">
        <v>11</v>
      </c>
      <c r="C74" s="127" t="s">
        <v>223</v>
      </c>
      <c r="D74" s="127" t="s">
        <v>295</v>
      </c>
      <c r="E74" s="155">
        <v>654</v>
      </c>
    </row>
    <row r="75" spans="1:5" ht="17.25" customHeight="1">
      <c r="A75" s="46" t="s">
        <v>308</v>
      </c>
      <c r="B75" s="154">
        <v>11</v>
      </c>
      <c r="C75" s="154" t="s">
        <v>224</v>
      </c>
      <c r="D75" s="154" t="s">
        <v>296</v>
      </c>
      <c r="E75" s="154">
        <v>849</v>
      </c>
    </row>
    <row r="76" spans="1:5" ht="17.25" customHeight="1">
      <c r="A76" s="46" t="s">
        <v>309</v>
      </c>
      <c r="B76" s="154">
        <v>2</v>
      </c>
      <c r="C76" s="154" t="s">
        <v>227</v>
      </c>
      <c r="D76" s="154" t="s">
        <v>297</v>
      </c>
      <c r="E76" s="154">
        <v>202</v>
      </c>
    </row>
    <row r="77" spans="1:5" ht="17.25" customHeight="1">
      <c r="A77" s="161"/>
      <c r="B77" s="123">
        <f>SUM(B74:B76)</f>
        <v>24</v>
      </c>
      <c r="C77" s="123"/>
      <c r="D77" s="123"/>
      <c r="E77" s="123">
        <f>SUM(E74:E76)</f>
        <v>1705</v>
      </c>
    </row>
    <row r="78" spans="1:5" ht="17.25" customHeight="1">
      <c r="A78" s="240" t="s">
        <v>215</v>
      </c>
      <c r="B78" s="241"/>
      <c r="C78" s="242"/>
      <c r="D78" s="39"/>
      <c r="E78" s="39"/>
    </row>
    <row r="79" spans="1:5" ht="17.25" customHeight="1">
      <c r="A79" s="87" t="s">
        <v>310</v>
      </c>
      <c r="B79" s="127">
        <v>9</v>
      </c>
      <c r="C79" s="87" t="s">
        <v>223</v>
      </c>
      <c r="D79" s="127" t="s">
        <v>298</v>
      </c>
      <c r="E79" s="87">
        <v>460</v>
      </c>
    </row>
    <row r="80" spans="1:5" ht="17.25" customHeight="1">
      <c r="A80" s="46" t="s">
        <v>311</v>
      </c>
      <c r="B80" s="46">
        <v>2</v>
      </c>
      <c r="C80" s="186" t="s">
        <v>233</v>
      </c>
      <c r="D80" s="46" t="s">
        <v>299</v>
      </c>
      <c r="E80" s="46">
        <v>243</v>
      </c>
    </row>
    <row r="81" spans="1:5" ht="17.25" customHeight="1">
      <c r="A81" s="46" t="s">
        <v>312</v>
      </c>
      <c r="B81" s="46">
        <v>3</v>
      </c>
      <c r="C81" s="186" t="s">
        <v>242</v>
      </c>
      <c r="D81" s="46" t="s">
        <v>300</v>
      </c>
      <c r="E81" s="46">
        <v>540</v>
      </c>
    </row>
    <row r="82" spans="1:5" ht="30" customHeight="1">
      <c r="A82" s="46" t="s">
        <v>313</v>
      </c>
      <c r="B82" s="46">
        <v>1</v>
      </c>
      <c r="C82" s="186" t="s">
        <v>303</v>
      </c>
      <c r="D82" s="46" t="s">
        <v>304</v>
      </c>
      <c r="E82" s="46">
        <v>210</v>
      </c>
    </row>
    <row r="83" spans="1:5" ht="17.25" customHeight="1">
      <c r="A83" s="46" t="s">
        <v>314</v>
      </c>
      <c r="B83" s="46">
        <v>1</v>
      </c>
      <c r="C83" s="186" t="s">
        <v>246</v>
      </c>
      <c r="D83" s="46" t="s">
        <v>305</v>
      </c>
      <c r="E83" s="46">
        <v>280</v>
      </c>
    </row>
    <row r="84" spans="1:5" ht="17.25" customHeight="1">
      <c r="A84" s="46" t="s">
        <v>315</v>
      </c>
      <c r="B84" s="46">
        <v>1</v>
      </c>
      <c r="C84" s="186" t="s">
        <v>266</v>
      </c>
      <c r="D84" s="46" t="s">
        <v>301</v>
      </c>
      <c r="E84" s="46">
        <v>410</v>
      </c>
    </row>
    <row r="85" spans="1:5" ht="17.25" customHeight="1">
      <c r="A85" s="197" t="s">
        <v>316</v>
      </c>
      <c r="B85" s="46">
        <v>1</v>
      </c>
      <c r="C85" s="46" t="s">
        <v>224</v>
      </c>
      <c r="D85" s="46" t="s">
        <v>306</v>
      </c>
      <c r="E85" s="46">
        <v>58</v>
      </c>
    </row>
    <row r="86" spans="1:5" ht="17.25" customHeight="1">
      <c r="A86" s="170"/>
      <c r="B86" s="169">
        <f>SUM(B79:B85)</f>
        <v>18</v>
      </c>
      <c r="C86" s="169"/>
      <c r="D86" s="169"/>
      <c r="E86" s="169">
        <f>SUM(E79:E85)</f>
        <v>2201</v>
      </c>
    </row>
    <row r="87" spans="1:5" ht="17.25" customHeight="1">
      <c r="A87" s="240" t="s">
        <v>228</v>
      </c>
      <c r="B87" s="241"/>
      <c r="C87" s="242"/>
      <c r="D87" s="90"/>
      <c r="E87" s="90"/>
    </row>
    <row r="88" spans="1:5" ht="17.25" customHeight="1">
      <c r="A88" s="46" t="s">
        <v>317</v>
      </c>
      <c r="B88" s="74">
        <v>2</v>
      </c>
      <c r="C88" s="74" t="s">
        <v>224</v>
      </c>
      <c r="D88" s="74" t="s">
        <v>302</v>
      </c>
      <c r="E88" s="46">
        <v>110</v>
      </c>
    </row>
    <row r="89" spans="1:5" ht="17.25" customHeight="1">
      <c r="A89" s="27"/>
      <c r="B89" s="90">
        <f>B88</f>
        <v>2</v>
      </c>
      <c r="C89" s="90"/>
      <c r="D89" s="90"/>
      <c r="E89" s="90">
        <f>E88</f>
        <v>110</v>
      </c>
    </row>
    <row r="90" spans="1:5" ht="17.25" customHeight="1">
      <c r="A90" s="90" t="s">
        <v>14</v>
      </c>
      <c r="B90" s="121">
        <f>B77+B86+B89</f>
        <v>44</v>
      </c>
      <c r="C90" s="121"/>
      <c r="D90" s="121"/>
      <c r="E90" s="121">
        <f>E77+E86+E89</f>
        <v>4016</v>
      </c>
    </row>
    <row r="91" spans="1:5" ht="17.25" customHeight="1">
      <c r="A91" s="109"/>
      <c r="B91" s="122"/>
      <c r="C91" s="128"/>
      <c r="D91" s="121"/>
      <c r="E91" s="121"/>
    </row>
    <row r="92" spans="1:5" ht="33.75" customHeight="1">
      <c r="A92" s="232" t="s">
        <v>339</v>
      </c>
      <c r="B92" s="243"/>
      <c r="C92" s="243"/>
      <c r="D92" s="243"/>
      <c r="E92" s="243"/>
    </row>
    <row r="93" spans="1:5" ht="23.25" customHeight="1">
      <c r="A93" s="27" t="s">
        <v>210</v>
      </c>
      <c r="B93" s="27" t="s">
        <v>211</v>
      </c>
      <c r="C93" s="27" t="s">
        <v>212</v>
      </c>
      <c r="D93" s="27" t="s">
        <v>213</v>
      </c>
      <c r="E93" s="119" t="s">
        <v>214</v>
      </c>
    </row>
    <row r="94" spans="1:5" ht="17.25" customHeight="1">
      <c r="A94" s="240" t="s">
        <v>222</v>
      </c>
      <c r="B94" s="241"/>
      <c r="C94" s="242"/>
      <c r="D94" s="27"/>
      <c r="E94" s="119"/>
    </row>
    <row r="95" spans="1:5" ht="17.25" customHeight="1">
      <c r="A95" s="51">
        <v>756</v>
      </c>
      <c r="B95" s="51">
        <v>3</v>
      </c>
      <c r="C95" s="51" t="s">
        <v>224</v>
      </c>
      <c r="D95" s="51" t="s">
        <v>321</v>
      </c>
      <c r="E95" s="51">
        <v>226</v>
      </c>
    </row>
    <row r="96" spans="1:5" ht="17.25" customHeight="1">
      <c r="A96" s="51">
        <v>757</v>
      </c>
      <c r="B96" s="51">
        <v>10</v>
      </c>
      <c r="C96" s="51" t="s">
        <v>227</v>
      </c>
      <c r="D96" s="51" t="s">
        <v>322</v>
      </c>
      <c r="E96" s="51">
        <v>1056</v>
      </c>
    </row>
    <row r="97" spans="1:5" ht="17.25" customHeight="1">
      <c r="A97" s="161"/>
      <c r="B97" s="123">
        <f>SUM(B95:B96)</f>
        <v>13</v>
      </c>
      <c r="C97" s="123"/>
      <c r="D97" s="123"/>
      <c r="E97" s="123">
        <f>SUM(E95:E96)</f>
        <v>1282</v>
      </c>
    </row>
    <row r="98" spans="1:5" ht="17.25" customHeight="1">
      <c r="A98" s="240" t="s">
        <v>215</v>
      </c>
      <c r="B98" s="241"/>
      <c r="C98" s="242"/>
      <c r="D98" s="39"/>
      <c r="E98" s="39"/>
    </row>
    <row r="99" spans="1:5" ht="17.25" customHeight="1">
      <c r="A99" s="51">
        <v>758</v>
      </c>
      <c r="B99" s="51">
        <v>8</v>
      </c>
      <c r="C99" s="51" t="s">
        <v>224</v>
      </c>
      <c r="D99" s="51" t="s">
        <v>323</v>
      </c>
      <c r="E99" s="51">
        <v>586</v>
      </c>
    </row>
    <row r="100" spans="1:5" ht="17.25" customHeight="1">
      <c r="A100" s="51">
        <v>759</v>
      </c>
      <c r="B100" s="51">
        <v>1</v>
      </c>
      <c r="C100" s="51" t="s">
        <v>227</v>
      </c>
      <c r="D100" s="51" t="s">
        <v>239</v>
      </c>
      <c r="E100" s="51">
        <v>82</v>
      </c>
    </row>
    <row r="101" spans="1:5" ht="17.25" customHeight="1">
      <c r="A101" s="27"/>
      <c r="B101" s="90">
        <f>SUM(B99:B100)</f>
        <v>9</v>
      </c>
      <c r="C101" s="90"/>
      <c r="D101" s="90"/>
      <c r="E101" s="90">
        <f>SUM(E99:E100)</f>
        <v>668</v>
      </c>
    </row>
    <row r="102" spans="1:5" ht="17.25" customHeight="1">
      <c r="A102" s="90" t="s">
        <v>14</v>
      </c>
      <c r="B102" s="121">
        <f>B97+B101</f>
        <v>22</v>
      </c>
      <c r="C102" s="121"/>
      <c r="D102" s="121"/>
      <c r="E102" s="121">
        <f>E97+E101</f>
        <v>1950</v>
      </c>
    </row>
    <row r="103" spans="1:5" ht="17.25" customHeight="1">
      <c r="A103" s="109"/>
      <c r="B103" s="122"/>
      <c r="C103" s="128"/>
      <c r="D103" s="121"/>
      <c r="E103" s="121"/>
    </row>
    <row r="104" spans="1:5" ht="27" customHeight="1">
      <c r="A104" s="232" t="s">
        <v>264</v>
      </c>
      <c r="B104" s="243"/>
      <c r="C104" s="243"/>
      <c r="D104" s="243"/>
      <c r="E104" s="243"/>
    </row>
    <row r="105" spans="1:5" ht="24" customHeight="1">
      <c r="A105" s="27" t="s">
        <v>210</v>
      </c>
      <c r="B105" s="27" t="s">
        <v>211</v>
      </c>
      <c r="C105" s="27" t="s">
        <v>212</v>
      </c>
      <c r="D105" s="27" t="s">
        <v>213</v>
      </c>
      <c r="E105" s="119" t="s">
        <v>214</v>
      </c>
    </row>
    <row r="106" spans="1:5" ht="17.25" customHeight="1">
      <c r="A106" s="240" t="s">
        <v>222</v>
      </c>
      <c r="B106" s="241"/>
      <c r="C106" s="242"/>
      <c r="D106" s="27"/>
      <c r="E106" s="119"/>
    </row>
    <row r="107" spans="1:5" ht="32.25" customHeight="1">
      <c r="A107" s="87">
        <v>1397</v>
      </c>
      <c r="B107" s="127">
        <v>25</v>
      </c>
      <c r="C107" s="127" t="s">
        <v>223</v>
      </c>
      <c r="D107" s="87" t="s">
        <v>324</v>
      </c>
      <c r="E107" s="87">
        <v>1495</v>
      </c>
    </row>
    <row r="108" spans="1:5" ht="32.25" customHeight="1">
      <c r="A108" s="87">
        <v>1398</v>
      </c>
      <c r="B108" s="127">
        <v>25</v>
      </c>
      <c r="C108" s="127" t="s">
        <v>223</v>
      </c>
      <c r="D108" s="87" t="s">
        <v>325</v>
      </c>
      <c r="E108" s="46">
        <v>1504</v>
      </c>
    </row>
    <row r="109" spans="1:5" ht="32.25" customHeight="1">
      <c r="A109" s="87">
        <v>1399</v>
      </c>
      <c r="B109" s="127">
        <v>25</v>
      </c>
      <c r="C109" s="127" t="s">
        <v>223</v>
      </c>
      <c r="D109" s="46" t="s">
        <v>332</v>
      </c>
      <c r="E109" s="46">
        <v>1509</v>
      </c>
    </row>
    <row r="110" spans="1:5" ht="32.25" customHeight="1">
      <c r="A110" s="87">
        <v>1400</v>
      </c>
      <c r="B110" s="127">
        <v>20</v>
      </c>
      <c r="C110" s="127" t="s">
        <v>223</v>
      </c>
      <c r="D110" s="46" t="s">
        <v>326</v>
      </c>
      <c r="E110" s="46">
        <v>1223</v>
      </c>
    </row>
    <row r="111" spans="1:5" ht="17.25" customHeight="1">
      <c r="A111" s="161"/>
      <c r="B111" s="123">
        <f>SUM(B107:B110)</f>
        <v>95</v>
      </c>
      <c r="C111" s="123"/>
      <c r="D111" s="123"/>
      <c r="E111" s="123">
        <f>SUM(E107:E110)</f>
        <v>5731</v>
      </c>
    </row>
    <row r="112" spans="1:5" ht="17.25" customHeight="1">
      <c r="A112" s="240" t="s">
        <v>215</v>
      </c>
      <c r="B112" s="241"/>
      <c r="C112" s="242"/>
      <c r="D112" s="39"/>
      <c r="E112" s="39"/>
    </row>
    <row r="113" spans="1:5" ht="30" customHeight="1">
      <c r="A113" s="87">
        <v>1392</v>
      </c>
      <c r="B113" s="127">
        <v>25</v>
      </c>
      <c r="C113" s="127" t="s">
        <v>223</v>
      </c>
      <c r="D113" s="87" t="s">
        <v>327</v>
      </c>
      <c r="E113" s="74">
        <v>1405</v>
      </c>
    </row>
    <row r="114" spans="1:5" ht="17.25" customHeight="1">
      <c r="A114" s="87">
        <v>1393</v>
      </c>
      <c r="B114" s="127">
        <v>14</v>
      </c>
      <c r="C114" s="127" t="s">
        <v>223</v>
      </c>
      <c r="D114" s="127" t="s">
        <v>328</v>
      </c>
      <c r="E114" s="87">
        <v>790</v>
      </c>
    </row>
    <row r="115" spans="1:5" ht="17.25" customHeight="1">
      <c r="A115" s="87">
        <v>1394</v>
      </c>
      <c r="B115" s="127">
        <v>2</v>
      </c>
      <c r="C115" s="127" t="s">
        <v>224</v>
      </c>
      <c r="D115" s="127" t="s">
        <v>329</v>
      </c>
      <c r="E115" s="46">
        <v>124</v>
      </c>
    </row>
    <row r="116" spans="1:5" ht="17.25" customHeight="1">
      <c r="A116" s="87">
        <v>1396</v>
      </c>
      <c r="B116" s="127">
        <v>4</v>
      </c>
      <c r="C116" s="127" t="s">
        <v>227</v>
      </c>
      <c r="D116" s="127" t="s">
        <v>331</v>
      </c>
      <c r="E116" s="46">
        <v>309</v>
      </c>
    </row>
    <row r="117" spans="1:5" ht="17.25" customHeight="1">
      <c r="A117" s="27"/>
      <c r="B117" s="90">
        <f>SUM(B113:B116)</f>
        <v>45</v>
      </c>
      <c r="C117" s="90"/>
      <c r="D117" s="90"/>
      <c r="E117" s="90">
        <f>SUM(E113:E116)</f>
        <v>2628</v>
      </c>
    </row>
    <row r="118" spans="1:5" ht="17.25" customHeight="1">
      <c r="A118" s="240" t="s">
        <v>229</v>
      </c>
      <c r="B118" s="241"/>
      <c r="C118" s="242"/>
      <c r="D118" s="90"/>
      <c r="E118" s="90"/>
    </row>
    <row r="119" spans="1:5" ht="17.25" customHeight="1">
      <c r="A119" s="87">
        <v>1395</v>
      </c>
      <c r="B119" s="127">
        <v>2</v>
      </c>
      <c r="C119" s="127" t="s">
        <v>224</v>
      </c>
      <c r="D119" s="127" t="s">
        <v>330</v>
      </c>
      <c r="E119" s="46">
        <v>144</v>
      </c>
    </row>
    <row r="120" spans="1:5" ht="17.25" customHeight="1">
      <c r="A120" s="27"/>
      <c r="B120" s="90">
        <f>B119</f>
        <v>2</v>
      </c>
      <c r="C120" s="90"/>
      <c r="D120" s="90"/>
      <c r="E120" s="90">
        <f>E119</f>
        <v>144</v>
      </c>
    </row>
    <row r="121" spans="1:5" ht="17.25" customHeight="1">
      <c r="A121" s="90" t="s">
        <v>14</v>
      </c>
      <c r="B121" s="121">
        <f>B111+B117+B120</f>
        <v>142</v>
      </c>
      <c r="C121" s="121"/>
      <c r="D121" s="121"/>
      <c r="E121" s="121">
        <f>E111+E117+E120</f>
        <v>8503</v>
      </c>
    </row>
    <row r="122" spans="1:5" ht="17.25" customHeight="1">
      <c r="A122" s="109"/>
      <c r="B122" s="122"/>
      <c r="C122" s="128"/>
      <c r="D122" s="121"/>
      <c r="E122" s="121"/>
    </row>
    <row r="123" spans="1:5" ht="31.5" customHeight="1">
      <c r="A123" s="232" t="s">
        <v>265</v>
      </c>
      <c r="B123" s="243"/>
      <c r="C123" s="243"/>
      <c r="D123" s="243"/>
      <c r="E123" s="243"/>
    </row>
    <row r="124" spans="1:5" ht="24.75" customHeight="1">
      <c r="A124" s="27" t="s">
        <v>210</v>
      </c>
      <c r="B124" s="27" t="s">
        <v>211</v>
      </c>
      <c r="C124" s="27" t="s">
        <v>212</v>
      </c>
      <c r="D124" s="27" t="s">
        <v>213</v>
      </c>
      <c r="E124" s="119" t="s">
        <v>214</v>
      </c>
    </row>
    <row r="125" spans="1:5" ht="17.25" customHeight="1">
      <c r="A125" s="234" t="s">
        <v>222</v>
      </c>
      <c r="B125" s="235"/>
      <c r="C125" s="236"/>
      <c r="D125" s="46"/>
      <c r="E125" s="45"/>
    </row>
    <row r="126" spans="1:5" ht="17.25" customHeight="1">
      <c r="A126" s="46">
        <v>996</v>
      </c>
      <c r="B126" s="46">
        <v>3</v>
      </c>
      <c r="C126" s="46" t="s">
        <v>216</v>
      </c>
      <c r="D126" s="46" t="s">
        <v>340</v>
      </c>
      <c r="E126" s="154">
        <v>216</v>
      </c>
    </row>
    <row r="127" spans="1:5" ht="17.25" customHeight="1">
      <c r="A127" s="46">
        <v>997</v>
      </c>
      <c r="B127" s="46">
        <v>3</v>
      </c>
      <c r="C127" s="46" t="s">
        <v>238</v>
      </c>
      <c r="D127" s="46" t="s">
        <v>341</v>
      </c>
      <c r="E127" s="154">
        <v>304</v>
      </c>
    </row>
    <row r="128" spans="1:5" ht="17.25" customHeight="1">
      <c r="A128" s="219"/>
      <c r="B128" s="123">
        <f>SUM(B126:B127)</f>
        <v>6</v>
      </c>
      <c r="C128" s="123"/>
      <c r="D128" s="123"/>
      <c r="E128" s="123">
        <f>SUM(E126:E127)</f>
        <v>520</v>
      </c>
    </row>
    <row r="129" spans="1:5" ht="17.25" customHeight="1">
      <c r="A129" s="234" t="s">
        <v>215</v>
      </c>
      <c r="B129" s="235"/>
      <c r="C129" s="236"/>
      <c r="D129" s="39"/>
      <c r="E129" s="39"/>
    </row>
    <row r="130" spans="1:5" ht="17.25" customHeight="1">
      <c r="A130" s="87">
        <v>998</v>
      </c>
      <c r="B130" s="127">
        <v>3</v>
      </c>
      <c r="C130" s="87" t="s">
        <v>237</v>
      </c>
      <c r="D130" s="46" t="s">
        <v>241</v>
      </c>
      <c r="E130" s="155">
        <v>137</v>
      </c>
    </row>
    <row r="131" spans="1:5" ht="17.25" customHeight="1">
      <c r="A131" s="87">
        <v>999</v>
      </c>
      <c r="B131" s="127">
        <v>14</v>
      </c>
      <c r="C131" s="87" t="s">
        <v>216</v>
      </c>
      <c r="D131" s="46" t="s">
        <v>342</v>
      </c>
      <c r="E131" s="155">
        <v>1255</v>
      </c>
    </row>
    <row r="132" spans="1:5" ht="17.25" customHeight="1">
      <c r="A132" s="87">
        <v>1000</v>
      </c>
      <c r="B132" s="127">
        <v>7</v>
      </c>
      <c r="C132" s="87" t="s">
        <v>216</v>
      </c>
      <c r="D132" s="46" t="s">
        <v>343</v>
      </c>
      <c r="E132" s="155">
        <v>613</v>
      </c>
    </row>
    <row r="133" spans="1:5" ht="17.25" customHeight="1">
      <c r="A133" s="87">
        <v>1001</v>
      </c>
      <c r="B133" s="127">
        <v>1</v>
      </c>
      <c r="C133" s="87" t="s">
        <v>238</v>
      </c>
      <c r="D133" s="46" t="s">
        <v>240</v>
      </c>
      <c r="E133" s="155">
        <v>101</v>
      </c>
    </row>
    <row r="134" spans="1:5" ht="17.25" customHeight="1">
      <c r="A134" s="46"/>
      <c r="B134" s="184">
        <f>SUM(B130:B133)</f>
        <v>25</v>
      </c>
      <c r="C134" s="184"/>
      <c r="D134" s="184"/>
      <c r="E134" s="184">
        <f>SUM(E130:E133)</f>
        <v>2106</v>
      </c>
    </row>
    <row r="135" spans="1:5" ht="17.25" customHeight="1">
      <c r="A135" s="184" t="s">
        <v>14</v>
      </c>
      <c r="B135" s="201">
        <f>B128+B134</f>
        <v>31</v>
      </c>
      <c r="C135" s="201"/>
      <c r="D135" s="201"/>
      <c r="E135" s="201">
        <f>E128+E134</f>
        <v>2626</v>
      </c>
    </row>
    <row r="136" spans="1:5" ht="17.25" customHeight="1">
      <c r="A136" s="204"/>
      <c r="B136" s="202"/>
      <c r="C136" s="203"/>
      <c r="D136" s="201"/>
      <c r="E136" s="201"/>
    </row>
    <row r="137" spans="1:11" ht="29.25" customHeight="1">
      <c r="A137" s="232" t="s">
        <v>363</v>
      </c>
      <c r="B137" s="243"/>
      <c r="C137" s="243"/>
      <c r="D137" s="243"/>
      <c r="E137" s="243"/>
      <c r="F137" s="209"/>
      <c r="G137" s="230"/>
      <c r="H137" s="229">
        <v>7</v>
      </c>
      <c r="I137" s="212">
        <v>6.3</v>
      </c>
      <c r="J137" s="213" t="s">
        <v>348</v>
      </c>
      <c r="K137" s="213">
        <v>365</v>
      </c>
    </row>
    <row r="138" spans="1:7" ht="23.25" customHeight="1">
      <c r="A138" s="27" t="s">
        <v>210</v>
      </c>
      <c r="B138" s="27" t="s">
        <v>211</v>
      </c>
      <c r="C138" s="27" t="s">
        <v>212</v>
      </c>
      <c r="D138" s="27" t="s">
        <v>213</v>
      </c>
      <c r="E138" s="119" t="s">
        <v>214</v>
      </c>
      <c r="F138" s="209"/>
      <c r="G138" s="209"/>
    </row>
    <row r="139" spans="1:7" ht="17.25" customHeight="1">
      <c r="A139" s="234" t="s">
        <v>222</v>
      </c>
      <c r="B139" s="235"/>
      <c r="C139" s="236"/>
      <c r="D139" s="46"/>
      <c r="E139" s="45"/>
      <c r="F139" s="209"/>
      <c r="G139" s="209"/>
    </row>
    <row r="140" spans="1:7" ht="17.25" customHeight="1">
      <c r="A140" s="223">
        <v>717</v>
      </c>
      <c r="B140" s="220">
        <v>4</v>
      </c>
      <c r="C140" s="220" t="s">
        <v>223</v>
      </c>
      <c r="D140" s="221" t="s">
        <v>345</v>
      </c>
      <c r="E140" s="221">
        <v>245</v>
      </c>
      <c r="F140" s="209"/>
      <c r="G140" s="209"/>
    </row>
    <row r="141" spans="1:7" ht="17.25" customHeight="1">
      <c r="A141" s="223">
        <v>718</v>
      </c>
      <c r="B141" s="220">
        <v>2</v>
      </c>
      <c r="C141" s="220" t="s">
        <v>224</v>
      </c>
      <c r="D141" s="221" t="s">
        <v>346</v>
      </c>
      <c r="E141" s="220">
        <v>166</v>
      </c>
      <c r="F141" s="209"/>
      <c r="G141" s="209"/>
    </row>
    <row r="142" spans="1:7" ht="17.25" customHeight="1">
      <c r="A142" s="223">
        <v>719</v>
      </c>
      <c r="B142" s="222">
        <v>2</v>
      </c>
      <c r="C142" s="222" t="s">
        <v>227</v>
      </c>
      <c r="D142" s="223" t="s">
        <v>347</v>
      </c>
      <c r="E142" s="224">
        <v>194</v>
      </c>
      <c r="F142" s="209"/>
      <c r="G142" s="209"/>
    </row>
    <row r="143" spans="1:7" ht="17.25" customHeight="1">
      <c r="A143" s="207"/>
      <c r="B143" s="207">
        <f>SUM(B140:B142)</f>
        <v>8</v>
      </c>
      <c r="C143" s="207"/>
      <c r="D143" s="207"/>
      <c r="E143" s="208">
        <f>SUM(E140:E142)</f>
        <v>605</v>
      </c>
      <c r="F143" s="209"/>
      <c r="G143" s="209"/>
    </row>
    <row r="144" spans="1:7" ht="17.25" customHeight="1">
      <c r="A144" s="234" t="s">
        <v>215</v>
      </c>
      <c r="B144" s="235"/>
      <c r="C144" s="236"/>
      <c r="D144" s="207"/>
      <c r="E144" s="208"/>
      <c r="F144" s="209"/>
      <c r="G144" s="209"/>
    </row>
    <row r="145" spans="1:7" ht="17.25" customHeight="1">
      <c r="A145" s="223">
        <v>720</v>
      </c>
      <c r="B145" s="222">
        <v>7</v>
      </c>
      <c r="C145" s="222" t="s">
        <v>223</v>
      </c>
      <c r="D145" s="223" t="s">
        <v>348</v>
      </c>
      <c r="E145" s="223">
        <v>365</v>
      </c>
      <c r="F145" s="209"/>
      <c r="G145" s="209"/>
    </row>
    <row r="146" spans="1:7" ht="17.25" customHeight="1">
      <c r="A146" s="21">
        <v>721</v>
      </c>
      <c r="B146" s="226">
        <v>2</v>
      </c>
      <c r="C146" s="227" t="s">
        <v>242</v>
      </c>
      <c r="D146" s="223" t="s">
        <v>349</v>
      </c>
      <c r="E146" s="21">
        <v>410</v>
      </c>
      <c r="F146" s="209"/>
      <c r="G146" s="209"/>
    </row>
    <row r="147" spans="1:7" ht="17.25" customHeight="1">
      <c r="A147" s="21">
        <v>722</v>
      </c>
      <c r="B147" s="226">
        <v>2</v>
      </c>
      <c r="C147" s="227" t="s">
        <v>246</v>
      </c>
      <c r="D147" s="223" t="s">
        <v>350</v>
      </c>
      <c r="E147" s="21">
        <v>490</v>
      </c>
      <c r="F147" s="209"/>
      <c r="G147" s="209"/>
    </row>
    <row r="148" spans="1:7" ht="17.25" customHeight="1">
      <c r="A148" s="21">
        <v>723</v>
      </c>
      <c r="B148" s="21">
        <v>3</v>
      </c>
      <c r="C148" s="225" t="s">
        <v>266</v>
      </c>
      <c r="D148" s="21" t="s">
        <v>351</v>
      </c>
      <c r="E148" s="21">
        <v>1400</v>
      </c>
      <c r="F148" s="209"/>
      <c r="G148" s="209"/>
    </row>
    <row r="149" spans="1:7" ht="17.25" customHeight="1">
      <c r="A149" s="21">
        <v>724</v>
      </c>
      <c r="B149" s="226">
        <v>8</v>
      </c>
      <c r="C149" s="214" t="s">
        <v>352</v>
      </c>
      <c r="D149" s="223" t="s">
        <v>353</v>
      </c>
      <c r="E149" s="21">
        <v>5651</v>
      </c>
      <c r="F149" s="209"/>
      <c r="G149" s="209"/>
    </row>
    <row r="150" spans="1:7" ht="17.25" customHeight="1">
      <c r="A150" s="21">
        <v>725</v>
      </c>
      <c r="B150" s="226">
        <v>1</v>
      </c>
      <c r="C150" s="214" t="s">
        <v>354</v>
      </c>
      <c r="D150" s="223" t="s">
        <v>355</v>
      </c>
      <c r="E150" s="21">
        <v>1033</v>
      </c>
      <c r="F150" s="209"/>
      <c r="G150" s="209"/>
    </row>
    <row r="151" spans="1:7" ht="17.25" customHeight="1">
      <c r="A151" s="46"/>
      <c r="B151" s="207">
        <f>SUM(B145:B150)</f>
        <v>23</v>
      </c>
      <c r="C151" s="207"/>
      <c r="D151" s="207"/>
      <c r="E151" s="208">
        <f>SUM(E145:E150)</f>
        <v>9349</v>
      </c>
      <c r="F151" s="209"/>
      <c r="G151" s="209"/>
    </row>
    <row r="152" spans="1:7" ht="17.25" customHeight="1">
      <c r="A152" s="207" t="s">
        <v>14</v>
      </c>
      <c r="B152" s="201">
        <f>B143+B151</f>
        <v>31</v>
      </c>
      <c r="C152" s="201"/>
      <c r="D152" s="201"/>
      <c r="E152" s="201">
        <f>E143+E151</f>
        <v>9954</v>
      </c>
      <c r="F152" s="209"/>
      <c r="G152" s="209"/>
    </row>
    <row r="153" spans="1:7" ht="17.25" customHeight="1">
      <c r="A153" s="211"/>
      <c r="B153" s="202"/>
      <c r="C153" s="203"/>
      <c r="D153" s="203"/>
      <c r="E153" s="203"/>
      <c r="F153" s="209"/>
      <c r="G153" s="209"/>
    </row>
    <row r="154" spans="1:7" ht="28.5" customHeight="1">
      <c r="A154" s="232" t="s">
        <v>364</v>
      </c>
      <c r="B154" s="243"/>
      <c r="C154" s="243"/>
      <c r="D154" s="243"/>
      <c r="E154" s="243"/>
      <c r="F154" s="209"/>
      <c r="G154" s="209"/>
    </row>
    <row r="155" spans="1:7" ht="26.25" customHeight="1">
      <c r="A155" s="27" t="s">
        <v>210</v>
      </c>
      <c r="B155" s="27" t="s">
        <v>211</v>
      </c>
      <c r="C155" s="27" t="s">
        <v>212</v>
      </c>
      <c r="D155" s="27" t="s">
        <v>213</v>
      </c>
      <c r="E155" s="119" t="s">
        <v>214</v>
      </c>
      <c r="F155" s="209"/>
      <c r="G155" s="209"/>
    </row>
    <row r="156" spans="1:7" ht="17.25" customHeight="1">
      <c r="A156" s="234" t="s">
        <v>222</v>
      </c>
      <c r="B156" s="235"/>
      <c r="C156" s="236"/>
      <c r="D156" s="46"/>
      <c r="E156" s="45"/>
      <c r="F156" s="209"/>
      <c r="G156" s="209"/>
    </row>
    <row r="157" spans="1:7" ht="17.25" customHeight="1">
      <c r="A157" s="51">
        <v>724</v>
      </c>
      <c r="B157" s="153">
        <v>1</v>
      </c>
      <c r="C157" s="153" t="s">
        <v>223</v>
      </c>
      <c r="D157" s="153" t="s">
        <v>356</v>
      </c>
      <c r="E157" s="153">
        <v>50</v>
      </c>
      <c r="F157" s="209"/>
      <c r="G157" s="209"/>
    </row>
    <row r="158" spans="1:7" ht="17.25" customHeight="1">
      <c r="A158" s="51">
        <v>725</v>
      </c>
      <c r="B158" s="153">
        <v>6</v>
      </c>
      <c r="C158" s="153" t="s">
        <v>224</v>
      </c>
      <c r="D158" s="153" t="s">
        <v>357</v>
      </c>
      <c r="E158" s="153">
        <v>446</v>
      </c>
      <c r="F158" s="209"/>
      <c r="G158" s="209"/>
    </row>
    <row r="159" spans="1:7" ht="17.25" customHeight="1">
      <c r="A159" s="51">
        <v>726</v>
      </c>
      <c r="B159" s="153">
        <v>21</v>
      </c>
      <c r="C159" s="153" t="s">
        <v>227</v>
      </c>
      <c r="D159" s="228" t="s">
        <v>362</v>
      </c>
      <c r="E159" s="153">
        <v>2233</v>
      </c>
      <c r="F159" s="209"/>
      <c r="G159" s="209"/>
    </row>
    <row r="160" spans="1:7" ht="17.25" customHeight="1">
      <c r="A160" s="210"/>
      <c r="B160" s="210">
        <f>SUM(B157:B159)</f>
        <v>28</v>
      </c>
      <c r="C160" s="210"/>
      <c r="D160" s="210"/>
      <c r="E160" s="210">
        <f>SUM(E157:E159)</f>
        <v>2729</v>
      </c>
      <c r="F160" s="209"/>
      <c r="G160" s="209"/>
    </row>
    <row r="161" spans="1:7" ht="17.25" customHeight="1">
      <c r="A161" s="234" t="s">
        <v>215</v>
      </c>
      <c r="B161" s="235"/>
      <c r="C161" s="236"/>
      <c r="D161" s="210"/>
      <c r="E161" s="211"/>
      <c r="F161" s="209"/>
      <c r="G161" s="209"/>
    </row>
    <row r="162" spans="1:7" ht="17.25" customHeight="1">
      <c r="A162" s="51">
        <v>730</v>
      </c>
      <c r="B162" s="153">
        <v>1</v>
      </c>
      <c r="C162" s="157" t="s">
        <v>246</v>
      </c>
      <c r="D162" s="153" t="s">
        <v>358</v>
      </c>
      <c r="E162" s="153">
        <v>265</v>
      </c>
      <c r="F162" s="209"/>
      <c r="G162" s="209"/>
    </row>
    <row r="163" spans="1:7" ht="17.25" customHeight="1">
      <c r="A163" s="51">
        <v>727</v>
      </c>
      <c r="B163" s="153">
        <v>10</v>
      </c>
      <c r="C163" s="153" t="s">
        <v>224</v>
      </c>
      <c r="D163" s="153" t="s">
        <v>359</v>
      </c>
      <c r="E163" s="153">
        <v>750</v>
      </c>
      <c r="F163" s="209"/>
      <c r="G163" s="209"/>
    </row>
    <row r="164" spans="1:7" ht="17.25" customHeight="1">
      <c r="A164" s="51">
        <v>728</v>
      </c>
      <c r="B164" s="153">
        <v>5</v>
      </c>
      <c r="C164" s="153" t="s">
        <v>227</v>
      </c>
      <c r="D164" s="153" t="s">
        <v>360</v>
      </c>
      <c r="E164" s="153">
        <v>403</v>
      </c>
      <c r="F164" s="209"/>
      <c r="G164" s="209"/>
    </row>
    <row r="165" spans="1:7" ht="17.25" customHeight="1">
      <c r="A165" s="51">
        <v>729</v>
      </c>
      <c r="B165" s="153">
        <v>2</v>
      </c>
      <c r="C165" s="157" t="s">
        <v>233</v>
      </c>
      <c r="D165" s="153" t="s">
        <v>361</v>
      </c>
      <c r="E165" s="153">
        <v>207</v>
      </c>
      <c r="F165" s="209"/>
      <c r="G165" s="209"/>
    </row>
    <row r="166" spans="1:7" ht="17.25" customHeight="1">
      <c r="A166" s="46"/>
      <c r="B166" s="210">
        <f>SUM(B162:B165)</f>
        <v>18</v>
      </c>
      <c r="C166" s="210"/>
      <c r="D166" s="210"/>
      <c r="E166" s="210">
        <f>SUM(E162:E165)</f>
        <v>1625</v>
      </c>
      <c r="F166" s="209"/>
      <c r="G166" s="209"/>
    </row>
    <row r="167" spans="1:7" ht="17.25" customHeight="1">
      <c r="A167" s="210" t="s">
        <v>14</v>
      </c>
      <c r="B167" s="201">
        <f>B160+B166</f>
        <v>46</v>
      </c>
      <c r="C167" s="201"/>
      <c r="D167" s="201"/>
      <c r="E167" s="201">
        <f>E160+E166</f>
        <v>4354</v>
      </c>
      <c r="F167" s="209"/>
      <c r="G167" s="209"/>
    </row>
    <row r="168" spans="1:7" ht="17.25" customHeight="1">
      <c r="A168" s="218"/>
      <c r="B168" s="202"/>
      <c r="C168" s="203"/>
      <c r="D168" s="201"/>
      <c r="E168" s="201"/>
      <c r="F168" s="209"/>
      <c r="G168" s="209"/>
    </row>
    <row r="169" spans="1:7" ht="27.75" customHeight="1">
      <c r="A169" s="232" t="s">
        <v>370</v>
      </c>
      <c r="B169" s="243"/>
      <c r="C169" s="243"/>
      <c r="D169" s="243"/>
      <c r="E169" s="243"/>
      <c r="F169" s="209" t="s">
        <v>243</v>
      </c>
      <c r="G169" s="209"/>
    </row>
    <row r="170" spans="1:7" ht="21.75" customHeight="1">
      <c r="A170" s="27" t="s">
        <v>210</v>
      </c>
      <c r="B170" s="27" t="s">
        <v>211</v>
      </c>
      <c r="C170" s="27" t="s">
        <v>212</v>
      </c>
      <c r="D170" s="27" t="s">
        <v>213</v>
      </c>
      <c r="E170" s="119" t="s">
        <v>214</v>
      </c>
      <c r="F170" s="209"/>
      <c r="G170" s="209"/>
    </row>
    <row r="171" spans="1:7" ht="17.25" customHeight="1">
      <c r="A171" s="234" t="s">
        <v>222</v>
      </c>
      <c r="B171" s="235"/>
      <c r="C171" s="236"/>
      <c r="D171" s="46"/>
      <c r="E171" s="45"/>
      <c r="F171" s="209"/>
      <c r="G171" s="209"/>
    </row>
    <row r="172" spans="1:7" ht="17.25" customHeight="1">
      <c r="A172" s="216">
        <v>431</v>
      </c>
      <c r="B172" s="39">
        <v>6</v>
      </c>
      <c r="C172" s="39" t="s">
        <v>227</v>
      </c>
      <c r="D172" s="39" t="s">
        <v>371</v>
      </c>
      <c r="E172" s="39">
        <v>696</v>
      </c>
      <c r="F172" s="209"/>
      <c r="G172" s="209"/>
    </row>
    <row r="173" spans="1:7" ht="17.25" customHeight="1">
      <c r="A173" s="216">
        <v>431</v>
      </c>
      <c r="B173" s="215">
        <v>2</v>
      </c>
      <c r="C173" s="215" t="s">
        <v>224</v>
      </c>
      <c r="D173" s="215" t="s">
        <v>372</v>
      </c>
      <c r="E173" s="215">
        <v>174</v>
      </c>
      <c r="F173" s="209"/>
      <c r="G173" s="209"/>
    </row>
    <row r="174" spans="1:7" ht="17.25" customHeight="1">
      <c r="A174" s="217"/>
      <c r="B174" s="217">
        <f>SUM(B172:B173)</f>
        <v>8</v>
      </c>
      <c r="C174" s="217"/>
      <c r="D174" s="217"/>
      <c r="E174" s="217">
        <f>SUM(E172:E173)</f>
        <v>870</v>
      </c>
      <c r="F174" s="209"/>
      <c r="G174" s="209"/>
    </row>
    <row r="175" spans="1:7" ht="17.25" customHeight="1">
      <c r="A175" s="234" t="s">
        <v>215</v>
      </c>
      <c r="B175" s="235"/>
      <c r="C175" s="236"/>
      <c r="D175" s="217"/>
      <c r="E175" s="218"/>
      <c r="F175" s="209"/>
      <c r="G175" s="209"/>
    </row>
    <row r="176" spans="1:7" ht="17.25" customHeight="1">
      <c r="A176" s="216">
        <v>433</v>
      </c>
      <c r="B176" s="215">
        <v>2</v>
      </c>
      <c r="C176" s="216" t="s">
        <v>233</v>
      </c>
      <c r="D176" s="215" t="s">
        <v>373</v>
      </c>
      <c r="E176" s="215">
        <v>250</v>
      </c>
      <c r="F176" s="209"/>
      <c r="G176" s="209"/>
    </row>
    <row r="177" spans="1:7" ht="17.25" customHeight="1">
      <c r="A177" s="216">
        <v>432</v>
      </c>
      <c r="B177" s="215">
        <v>1</v>
      </c>
      <c r="C177" s="215" t="s">
        <v>227</v>
      </c>
      <c r="D177" s="215" t="s">
        <v>240</v>
      </c>
      <c r="E177" s="215">
        <v>90</v>
      </c>
      <c r="F177" s="209"/>
      <c r="G177" s="209"/>
    </row>
    <row r="178" spans="1:7" ht="17.25" customHeight="1">
      <c r="A178" s="216">
        <v>432</v>
      </c>
      <c r="B178" s="215">
        <v>1</v>
      </c>
      <c r="C178" s="216" t="s">
        <v>233</v>
      </c>
      <c r="D178" s="215" t="s">
        <v>240</v>
      </c>
      <c r="E178" s="215">
        <v>125</v>
      </c>
      <c r="F178" s="209"/>
      <c r="G178" s="209"/>
    </row>
    <row r="179" spans="1:7" ht="17.25" customHeight="1">
      <c r="A179" s="46"/>
      <c r="B179" s="217">
        <f>SUM(B176:B178)</f>
        <v>4</v>
      </c>
      <c r="C179" s="217"/>
      <c r="D179" s="217"/>
      <c r="E179" s="217">
        <f>SUM(E176:E178)</f>
        <v>465</v>
      </c>
      <c r="F179" s="209"/>
      <c r="G179" s="209"/>
    </row>
    <row r="180" spans="1:7" ht="17.25" customHeight="1">
      <c r="A180" s="217" t="s">
        <v>14</v>
      </c>
      <c r="B180" s="201">
        <f>B174+B179</f>
        <v>12</v>
      </c>
      <c r="C180" s="201"/>
      <c r="D180" s="201"/>
      <c r="E180" s="201">
        <f>E174+E179</f>
        <v>1335</v>
      </c>
      <c r="F180" s="209"/>
      <c r="G180" s="209"/>
    </row>
    <row r="181" spans="1:7" ht="17.25" customHeight="1">
      <c r="A181" s="211"/>
      <c r="B181" s="202"/>
      <c r="C181" s="203"/>
      <c r="D181" s="201"/>
      <c r="E181" s="201"/>
      <c r="F181" s="209"/>
      <c r="G181" s="209"/>
    </row>
    <row r="182" spans="1:8" s="2" customFormat="1" ht="21" customHeight="1">
      <c r="A182" s="294" t="s">
        <v>22</v>
      </c>
      <c r="B182" s="295"/>
      <c r="C182" s="296"/>
      <c r="D182" s="9"/>
      <c r="E182" s="11"/>
      <c r="H182" s="141"/>
    </row>
    <row r="183" spans="1:8" s="2" customFormat="1" ht="18" customHeight="1">
      <c r="A183" s="45"/>
      <c r="B183" s="205"/>
      <c r="C183" s="206"/>
      <c r="D183" s="49"/>
      <c r="E183" s="50">
        <f>SUM(E185:E188)</f>
        <v>0.512</v>
      </c>
      <c r="H183" s="141"/>
    </row>
    <row r="184" spans="1:18" ht="17.25" customHeight="1">
      <c r="A184" s="46" t="s">
        <v>5</v>
      </c>
      <c r="B184" s="232" t="s">
        <v>17</v>
      </c>
      <c r="C184" s="233"/>
      <c r="D184" s="204" t="s">
        <v>18</v>
      </c>
      <c r="E184" s="46" t="s">
        <v>7</v>
      </c>
      <c r="G184" s="131" t="str">
        <f>CONCATENATE("Cable Scrap, Lying at ",B185,". Quantity in MT - ")</f>
        <v>Cable Scrap, Lying at CS Ferozepur. Quantity in MT - </v>
      </c>
      <c r="H184" s="317" t="str">
        <f ca="1">CONCATENATE(G184,G185,(INDIRECT(I185)),(INDIRECT(J185)),(INDIRECT(K185)),(INDIRECT(L185)),(INDIRECT(M185)),(INDIRECT(N185)),(INDIRECT(O185)),(INDIRECT(P185)),(INDIRECT(Q185)),(INDIRECT(R185)))</f>
        <v>Cable Scrap, Lying at CS Ferozepur. Quantity in MT - 2/core PVC Alumn. Cable scrap - 0.169, 4/core PVC Alumn. Cable scrap - 0.14, 1/ core XLPE Alu cable scrap - 0.001, 3/ core XLPE Alu cable scrap - 0.202, </v>
      </c>
      <c r="I184" s="138" t="str">
        <f aca="true" ca="1" t="array" ref="I184">CELL("address",INDEX(G184:G206,MATCH(TRUE,ISBLANK(G184:G206),0)))</f>
        <v>$G$189</v>
      </c>
      <c r="J184" s="138">
        <f aca="true" t="array" ref="J184">MATCH(TRUE,ISBLANK(G184:G206),0)</f>
        <v>6</v>
      </c>
      <c r="K184" s="138">
        <f>J184-3</f>
        <v>3</v>
      </c>
      <c r="L184" s="138"/>
      <c r="M184" s="138"/>
      <c r="N184" s="138"/>
      <c r="O184" s="138"/>
      <c r="P184" s="138"/>
      <c r="Q184" s="138"/>
      <c r="R184" s="138"/>
    </row>
    <row r="185" spans="1:18" ht="15" customHeight="1">
      <c r="A185" s="231" t="s">
        <v>35</v>
      </c>
      <c r="B185" s="231" t="s">
        <v>100</v>
      </c>
      <c r="C185" s="231"/>
      <c r="D185" s="51" t="s">
        <v>91</v>
      </c>
      <c r="E185" s="52">
        <v>0.169</v>
      </c>
      <c r="G185" s="129" t="str">
        <f>CONCATENATE(D185," - ",E185,", ")</f>
        <v>2/core PVC Alumn. Cable scrap - 0.169, </v>
      </c>
      <c r="H185" s="317"/>
      <c r="I185" s="138" t="str">
        <f ca="1">IF(J184&gt;=3,(MID(I184,2,1)&amp;MID(I184,4,3)-K184),CELL("address",Z185))</f>
        <v>G186</v>
      </c>
      <c r="J185" s="138" t="str">
        <f ca="1">IF(J184&gt;=4,(MID(I185,1,1)&amp;MID(I185,2,3)+1),CELL("address",AA185))</f>
        <v>G187</v>
      </c>
      <c r="K185" s="138" t="str">
        <f ca="1">IF(J184&gt;=5,(MID(J185,1,1)&amp;MID(J185,2,3)+1),CELL("address",AB185))</f>
        <v>G188</v>
      </c>
      <c r="L185" s="138" t="str">
        <f ca="1">IF(J184&gt;=6,(MID(K185,1,1)&amp;MID(K185,2,3)+1),CELL("address",AC185))</f>
        <v>G189</v>
      </c>
      <c r="M185" s="138" t="str">
        <f ca="1">IF(J184&gt;=7,(MID(L185,1,1)&amp;MID(L185,2,3)+1),CELL("address",AD185))</f>
        <v>$AD$185</v>
      </c>
      <c r="N185" s="138" t="str">
        <f ca="1">IF(J184&gt;=8,(MID(M185,1,1)&amp;MID(M185,2,3)+1),CELL("address",AE185))</f>
        <v>$AE$185</v>
      </c>
      <c r="O185" s="138" t="str">
        <f ca="1">IF(J184&gt;=9,(MID(N185,1,1)&amp;MID(N185,2,3)+1),CELL("address",AF185))</f>
        <v>$AF$185</v>
      </c>
      <c r="P185" s="138" t="str">
        <f ca="1">IF(J184&gt;=10,(MID(O185,1,1)&amp;MID(O185,2,3)+1),CELL("address",AG185))</f>
        <v>$AG$185</v>
      </c>
      <c r="Q185" s="138" t="str">
        <f ca="1">IF(J184&gt;=11,(MID(P185,1,1)&amp;MID(P185,2,3)+1),CELL("address",AH185))</f>
        <v>$AH$185</v>
      </c>
      <c r="R185" s="138" t="str">
        <f ca="1">IF(J184&gt;=12,(MID(Q185,1,1)&amp;MID(Q185,2,3)+1),CELL("address",AI185))</f>
        <v>$AI$185</v>
      </c>
    </row>
    <row r="186" spans="1:8" ht="15" customHeight="1">
      <c r="A186" s="231"/>
      <c r="B186" s="231"/>
      <c r="C186" s="231"/>
      <c r="D186" s="51" t="s">
        <v>92</v>
      </c>
      <c r="E186" s="52">
        <v>0.14</v>
      </c>
      <c r="G186" s="129" t="str">
        <f>CONCATENATE(D186," - ",E186,", ")</f>
        <v>4/core PVC Alumn. Cable scrap - 0.14, </v>
      </c>
      <c r="H186" s="142"/>
    </row>
    <row r="187" spans="1:8" ht="15" customHeight="1">
      <c r="A187" s="231"/>
      <c r="B187" s="231"/>
      <c r="C187" s="231"/>
      <c r="D187" s="51" t="s">
        <v>98</v>
      </c>
      <c r="E187" s="51">
        <v>0.001</v>
      </c>
      <c r="G187" s="129" t="str">
        <f>CONCATENATE(D187," - ",E187,", ")</f>
        <v>1/ core XLPE Alu cable scrap - 0.001, </v>
      </c>
      <c r="H187" s="142"/>
    </row>
    <row r="188" spans="1:8" ht="15" customHeight="1">
      <c r="A188" s="231"/>
      <c r="B188" s="231"/>
      <c r="C188" s="231"/>
      <c r="D188" s="51" t="s">
        <v>93</v>
      </c>
      <c r="E188" s="53">
        <v>0.202</v>
      </c>
      <c r="G188" s="129" t="str">
        <f>CONCATENATE(D188," - ",E188,", ")</f>
        <v>3/ core XLPE Alu cable scrap - 0.202, </v>
      </c>
      <c r="H188" s="142"/>
    </row>
    <row r="189" spans="1:8" ht="15" customHeight="1">
      <c r="A189" s="45"/>
      <c r="B189" s="54"/>
      <c r="C189" s="115"/>
      <c r="D189" s="39"/>
      <c r="E189" s="55"/>
      <c r="G189" s="129"/>
      <c r="H189" s="142"/>
    </row>
    <row r="190" spans="1:8" ht="15" customHeight="1">
      <c r="A190" s="46"/>
      <c r="B190" s="254"/>
      <c r="C190" s="255"/>
      <c r="D190" s="116"/>
      <c r="E190" s="59">
        <f>SUM(E192:E193)</f>
        <v>1.568</v>
      </c>
      <c r="G190" s="129"/>
      <c r="H190" s="142"/>
    </row>
    <row r="191" spans="1:18" ht="15" customHeight="1">
      <c r="A191" s="46" t="s">
        <v>5</v>
      </c>
      <c r="B191" s="231" t="s">
        <v>17</v>
      </c>
      <c r="C191" s="231"/>
      <c r="D191" s="114" t="s">
        <v>18</v>
      </c>
      <c r="E191" s="46" t="s">
        <v>7</v>
      </c>
      <c r="G191" s="131" t="str">
        <f>CONCATENATE("Cable Scrap, Lying at ",B192,". Quantity in MT - ")</f>
        <v>Cable Scrap, Lying at OL Shri Muktsar Sahib. Quantity in MT - </v>
      </c>
      <c r="H191" s="261" t="str">
        <f ca="1">CONCATENATE(G191,G192,(INDIRECT(I192)),(INDIRECT(J192)),(INDIRECT(K192)),(INDIRECT(L192)),(INDIRECT(M192)),(INDIRECT(N192)),(INDIRECT(O192)),(INDIRECT(P192)),(INDIRECT(Q192)),(INDIRECT(R192)),".")</f>
        <v>Cable Scrap, Lying at OL Shri Muktsar Sahib. Quantity in MT - 4/core PVC Alumn. Cable scrap - 0.028, 3/ core XLPE Alu cable scrap - 1.54, .</v>
      </c>
      <c r="I191" s="138" t="str">
        <f aca="true" ca="1" t="array" ref="I191">CELL("address",INDEX(G191:G216,MATCH(TRUE,ISBLANK(G191:G216),0)))</f>
        <v>$G$194</v>
      </c>
      <c r="J191" s="138">
        <f aca="true" t="array" ref="J191">MATCH(TRUE,ISBLANK(G191:G216),0)</f>
        <v>4</v>
      </c>
      <c r="K191" s="138">
        <f>J191-3</f>
        <v>1</v>
      </c>
      <c r="L191" s="138"/>
      <c r="M191" s="138"/>
      <c r="N191" s="138"/>
      <c r="O191" s="138"/>
      <c r="P191" s="138"/>
      <c r="Q191" s="138"/>
      <c r="R191" s="138"/>
    </row>
    <row r="192" spans="1:18" ht="15" customHeight="1">
      <c r="A192" s="231" t="s">
        <v>94</v>
      </c>
      <c r="B192" s="231" t="s">
        <v>142</v>
      </c>
      <c r="C192" s="231"/>
      <c r="D192" s="51" t="s">
        <v>92</v>
      </c>
      <c r="E192" s="52">
        <v>0.028</v>
      </c>
      <c r="G192" s="129" t="str">
        <f>CONCATENATE(D192," - ",E192,", ")</f>
        <v>4/core PVC Alumn. Cable scrap - 0.028, </v>
      </c>
      <c r="H192" s="261"/>
      <c r="I192" s="138" t="str">
        <f ca="1">IF(J191&gt;=3,(MID(I191,2,1)&amp;MID(I191,4,3)-K191),CELL("address",Z192))</f>
        <v>G193</v>
      </c>
      <c r="J192" s="138" t="str">
        <f ca="1">IF(J191&gt;=4,(MID(I192,1,1)&amp;MID(I192,2,3)+1),CELL("address",AA192))</f>
        <v>G194</v>
      </c>
      <c r="K192" s="138" t="str">
        <f ca="1">IF(J191&gt;=5,(MID(J192,1,1)&amp;MID(J192,2,3)+1),CELL("address",AB192))</f>
        <v>$AB$192</v>
      </c>
      <c r="L192" s="138" t="str">
        <f ca="1">IF(J191&gt;=6,(MID(K192,1,1)&amp;MID(K192,2,3)+1),CELL("address",AC192))</f>
        <v>$AC$192</v>
      </c>
      <c r="M192" s="138" t="str">
        <f ca="1">IF(J191&gt;=7,(MID(L192,1,1)&amp;MID(L192,2,3)+1),CELL("address",AD192))</f>
        <v>$AD$192</v>
      </c>
      <c r="N192" s="138" t="str">
        <f ca="1">IF(J191&gt;=8,(MID(M192,1,1)&amp;MID(M192,2,3)+1),CELL("address",AE192))</f>
        <v>$AE$192</v>
      </c>
      <c r="O192" s="138" t="str">
        <f ca="1">IF(J191&gt;=9,(MID(N192,1,1)&amp;MID(N192,2,3)+1),CELL("address",AF192))</f>
        <v>$AF$192</v>
      </c>
      <c r="P192" s="138" t="str">
        <f ca="1">IF(J191&gt;=10,(MID(O192,1,1)&amp;MID(O192,2,3)+1),CELL("address",AG192))</f>
        <v>$AG$192</v>
      </c>
      <c r="Q192" s="138" t="str">
        <f ca="1">IF(J191&gt;=11,(MID(P192,1,1)&amp;MID(P192,2,3)+1),CELL("address",AH192))</f>
        <v>$AH$192</v>
      </c>
      <c r="R192" s="138" t="str">
        <f ca="1">IF(J191&gt;=12,(MID(Q192,1,1)&amp;MID(Q192,2,3)+1),CELL("address",AI192))</f>
        <v>$AI$192</v>
      </c>
    </row>
    <row r="193" spans="1:8" ht="15" customHeight="1">
      <c r="A193" s="231"/>
      <c r="B193" s="231"/>
      <c r="C193" s="231"/>
      <c r="D193" s="51" t="s">
        <v>93</v>
      </c>
      <c r="E193" s="52">
        <v>1.54</v>
      </c>
      <c r="G193" s="129" t="str">
        <f>CONCATENATE(D193," - ",E193,", ")</f>
        <v>3/ core XLPE Alu cable scrap - 1.54, </v>
      </c>
      <c r="H193" s="142"/>
    </row>
    <row r="194" spans="1:8" ht="15" customHeight="1">
      <c r="A194" s="46"/>
      <c r="B194" s="254"/>
      <c r="C194" s="255"/>
      <c r="D194" s="88"/>
      <c r="E194" s="94"/>
      <c r="G194" s="129"/>
      <c r="H194" s="142"/>
    </row>
    <row r="195" spans="1:8" ht="15" customHeight="1">
      <c r="A195" s="46"/>
      <c r="B195" s="254"/>
      <c r="C195" s="255"/>
      <c r="D195" s="49"/>
      <c r="E195" s="50">
        <f>SUM(E197:E200)</f>
        <v>2.236</v>
      </c>
      <c r="G195" s="129"/>
      <c r="H195" s="142"/>
    </row>
    <row r="196" spans="1:18" ht="15" customHeight="1">
      <c r="A196" s="46" t="s">
        <v>5</v>
      </c>
      <c r="B196" s="232" t="s">
        <v>17</v>
      </c>
      <c r="C196" s="233"/>
      <c r="D196" s="152" t="s">
        <v>18</v>
      </c>
      <c r="E196" s="46" t="s">
        <v>7</v>
      </c>
      <c r="G196" s="131" t="str">
        <f>CONCATENATE("Cable Scrap, Lying at ",B197,". Quantity in MT - ")</f>
        <v>Cable Scrap, Lying at OL Bhagta Bhai Ka. Quantity in MT - </v>
      </c>
      <c r="H196" s="261" t="str">
        <f ca="1">CONCATENATE(G196,G197,(INDIRECT(I197)),(INDIRECT(J197)),(INDIRECT(K197)),(INDIRECT(L197)),(INDIRECT(M197)),(INDIRECT(N197)),(INDIRECT(O197)),(INDIRECT(P197)),(INDIRECT(Q197)),(INDIRECT(R197)),".")</f>
        <v>Cable Scrap, Lying at OL Bhagta Bhai Ka. Quantity in MT - 4/core PVC Alumn. Cable scrap - 1.272, 2/core PVC Alumn. Cable scrap - 0.338, 3/ core XLPE Alu cable scrap - 0.224, ABC cable scrap (150 mm) - 0.402, .</v>
      </c>
      <c r="I196" s="138" t="str">
        <f aca="true" ca="1" t="array" ref="I196">CELL("address",INDEX(G196:G221,MATCH(TRUE,ISBLANK(G196:G221),0)))</f>
        <v>$G$201</v>
      </c>
      <c r="J196" s="138">
        <f aca="true" t="array" ref="J196">MATCH(TRUE,ISBLANK(G196:G221),0)</f>
        <v>6</v>
      </c>
      <c r="K196" s="138">
        <f>J196-3</f>
        <v>3</v>
      </c>
      <c r="L196" s="138"/>
      <c r="M196" s="138"/>
      <c r="N196" s="138"/>
      <c r="O196" s="138"/>
      <c r="P196" s="138"/>
      <c r="Q196" s="138"/>
      <c r="R196" s="138"/>
    </row>
    <row r="197" spans="1:18" ht="15" customHeight="1">
      <c r="A197" s="231" t="s">
        <v>95</v>
      </c>
      <c r="B197" s="231" t="s">
        <v>101</v>
      </c>
      <c r="C197" s="231"/>
      <c r="D197" s="51" t="s">
        <v>92</v>
      </c>
      <c r="E197" s="52">
        <v>1.272</v>
      </c>
      <c r="G197" s="129" t="str">
        <f>CONCATENATE(D197," - ",E197,", ")</f>
        <v>4/core PVC Alumn. Cable scrap - 1.272, </v>
      </c>
      <c r="H197" s="261"/>
      <c r="I197" s="138" t="str">
        <f ca="1">IF(J196&gt;=3,(MID(I196,2,1)&amp;MID(I196,4,3)-K196),CELL("address",Z197))</f>
        <v>G198</v>
      </c>
      <c r="J197" s="138" t="str">
        <f ca="1">IF(J196&gt;=4,(MID(I197,1,1)&amp;MID(I197,2,3)+1),CELL("address",AA197))</f>
        <v>G199</v>
      </c>
      <c r="K197" s="138" t="str">
        <f ca="1">IF(J196&gt;=5,(MID(J197,1,1)&amp;MID(J197,2,3)+1),CELL("address",AB197))</f>
        <v>G200</v>
      </c>
      <c r="L197" s="138" t="str">
        <f ca="1">IF(J196&gt;=6,(MID(K197,1,1)&amp;MID(K197,2,3)+1),CELL("address",AC197))</f>
        <v>G201</v>
      </c>
      <c r="M197" s="138" t="str">
        <f ca="1">IF(J196&gt;=7,(MID(L197,1,1)&amp;MID(L197,2,3)+1),CELL("address",AD197))</f>
        <v>$AD$197</v>
      </c>
      <c r="N197" s="138" t="str">
        <f ca="1">IF(J196&gt;=8,(MID(M197,1,1)&amp;MID(M197,2,3)+1),CELL("address",AE197))</f>
        <v>$AE$197</v>
      </c>
      <c r="O197" s="138" t="str">
        <f ca="1">IF(J196&gt;=9,(MID(N197,1,1)&amp;MID(N197,2,3)+1),CELL("address",AF197))</f>
        <v>$AF$197</v>
      </c>
      <c r="P197" s="138" t="str">
        <f ca="1">IF(J196&gt;=10,(MID(O197,1,1)&amp;MID(O197,2,3)+1),CELL("address",AG197))</f>
        <v>$AG$197</v>
      </c>
      <c r="Q197" s="138" t="str">
        <f ca="1">IF(J196&gt;=11,(MID(P197,1,1)&amp;MID(P197,2,3)+1),CELL("address",AH197))</f>
        <v>$AH$197</v>
      </c>
      <c r="R197" s="138" t="str">
        <f ca="1">IF(J196&gt;=12,(MID(Q197,1,1)&amp;MID(Q197,2,3)+1),CELL("address",AI197))</f>
        <v>$AI$197</v>
      </c>
    </row>
    <row r="198" spans="1:8" ht="15" customHeight="1">
      <c r="A198" s="231"/>
      <c r="B198" s="231"/>
      <c r="C198" s="231"/>
      <c r="D198" s="51" t="s">
        <v>91</v>
      </c>
      <c r="E198" s="94">
        <v>0.338</v>
      </c>
      <c r="G198" s="129" t="str">
        <f>CONCATENATE(D198," - ",E198,", ")</f>
        <v>2/core PVC Alumn. Cable scrap - 0.338, </v>
      </c>
      <c r="H198" s="142"/>
    </row>
    <row r="199" spans="1:8" ht="15" customHeight="1">
      <c r="A199" s="231"/>
      <c r="B199" s="231"/>
      <c r="C199" s="231"/>
      <c r="D199" s="51" t="s">
        <v>93</v>
      </c>
      <c r="E199" s="94">
        <v>0.224</v>
      </c>
      <c r="G199" s="129" t="str">
        <f>CONCATENATE(D199," - ",E199,", ")</f>
        <v>3/ core XLPE Alu cable scrap - 0.224, </v>
      </c>
      <c r="H199" s="142"/>
    </row>
    <row r="200" spans="1:8" ht="15" customHeight="1">
      <c r="A200" s="231"/>
      <c r="B200" s="231"/>
      <c r="C200" s="231"/>
      <c r="D200" s="51" t="s">
        <v>248</v>
      </c>
      <c r="E200" s="94">
        <v>0.402</v>
      </c>
      <c r="G200" s="129" t="str">
        <f>CONCATENATE(D200," - ",E200,", ")</f>
        <v>ABC cable scrap (150 mm) - 0.402, </v>
      </c>
      <c r="H200" s="142"/>
    </row>
    <row r="201" spans="1:8" ht="15" customHeight="1">
      <c r="A201" s="45"/>
      <c r="B201" s="47"/>
      <c r="C201" s="48"/>
      <c r="D201" s="88"/>
      <c r="E201" s="94"/>
      <c r="G201" s="129"/>
      <c r="H201" s="142"/>
    </row>
    <row r="202" spans="1:8" ht="15" customHeight="1">
      <c r="A202" s="46"/>
      <c r="B202" s="254"/>
      <c r="C202" s="255"/>
      <c r="D202" s="185"/>
      <c r="E202" s="59">
        <f>SUM(E204:E208)</f>
        <v>10.222000000000001</v>
      </c>
      <c r="G202" s="131"/>
      <c r="H202" s="142"/>
    </row>
    <row r="203" spans="1:18" ht="15" customHeight="1">
      <c r="A203" s="46" t="s">
        <v>5</v>
      </c>
      <c r="B203" s="231" t="s">
        <v>17</v>
      </c>
      <c r="C203" s="231"/>
      <c r="D203" s="184" t="s">
        <v>18</v>
      </c>
      <c r="E203" s="46" t="s">
        <v>7</v>
      </c>
      <c r="G203" s="131" t="str">
        <f>CONCATENATE("Cable Scrap, Lying at ",B204,". Quantity in MT - ")</f>
        <v>Cable Scrap, Lying at CS Bathinda. Quantity in MT - </v>
      </c>
      <c r="H203" s="261" t="str">
        <f ca="1">CONCATENATE(G203,G204,(INDIRECT(I204)),(INDIRECT(J204)),(INDIRECT(K204)),(INDIRECT(L204)),(INDIRECT(M204)),(INDIRECT(N204)),(INDIRECT(O204)),(INDIRECT(P204)),(INDIRECT(Q204)),(INDIRECT(R204)),".")</f>
        <v>Cable Scrap, Lying at CS Bathinda. Quantity in MT - 2/core PVC Alumn. Cable scrap - 0.157, 4/core PVC Alumn. Cable scrap - 1.299, 1/ core XLPE Alu cable scrap - 0.143, 3/ core XLPE Alu cable scrap - 3.689, ABC cable scrap (70/95 mm) - 4.934, .</v>
      </c>
      <c r="I203" s="138" t="str">
        <f aca="true" ca="1" t="array" ref="I203">CELL("address",INDEX(G203:G226,MATCH(TRUE,ISBLANK(G203:G226),0)))</f>
        <v>$G$209</v>
      </c>
      <c r="J203" s="138">
        <f aca="true" t="array" ref="J203">MATCH(TRUE,ISBLANK(G203:G226),0)</f>
        <v>7</v>
      </c>
      <c r="K203" s="138">
        <f>J203-3</f>
        <v>4</v>
      </c>
      <c r="L203" s="138"/>
      <c r="M203" s="138"/>
      <c r="N203" s="138"/>
      <c r="O203" s="138"/>
      <c r="P203" s="138"/>
      <c r="Q203" s="138"/>
      <c r="R203" s="138"/>
    </row>
    <row r="204" spans="1:18" ht="15" customHeight="1">
      <c r="A204" s="231" t="s">
        <v>97</v>
      </c>
      <c r="B204" s="231" t="s">
        <v>64</v>
      </c>
      <c r="C204" s="231"/>
      <c r="D204" s="51" t="s">
        <v>91</v>
      </c>
      <c r="E204" s="52">
        <v>0.157</v>
      </c>
      <c r="G204" s="129" t="str">
        <f>CONCATENATE(D204," - ",E204,", ")</f>
        <v>2/core PVC Alumn. Cable scrap - 0.157, </v>
      </c>
      <c r="H204" s="261"/>
      <c r="I204" s="138" t="str">
        <f ca="1">IF(J203&gt;=3,(MID(I203,2,1)&amp;MID(I203,4,3)-K203),CELL("address",Z204))</f>
        <v>G205</v>
      </c>
      <c r="J204" s="138" t="str">
        <f ca="1">IF(J203&gt;=4,(MID(I204,1,1)&amp;MID(I204,2,3)+1),CELL("address",AA204))</f>
        <v>G206</v>
      </c>
      <c r="K204" s="138" t="str">
        <f ca="1">IF(J203&gt;=5,(MID(J204,1,1)&amp;MID(J204,2,3)+1),CELL("address",AB204))</f>
        <v>G207</v>
      </c>
      <c r="L204" s="138" t="str">
        <f ca="1">IF(J203&gt;=6,(MID(K204,1,1)&amp;MID(K204,2,3)+1),CELL("address",AC204))</f>
        <v>G208</v>
      </c>
      <c r="M204" s="138" t="str">
        <f ca="1">IF(J203&gt;=7,(MID(L204,1,1)&amp;MID(L204,2,3)+1),CELL("address",AD204))</f>
        <v>G209</v>
      </c>
      <c r="N204" s="138" t="str">
        <f ca="1">IF(J203&gt;=8,(MID(M204,1,1)&amp;MID(M204,2,3)+1),CELL("address",AE204))</f>
        <v>$AE$204</v>
      </c>
      <c r="O204" s="138" t="str">
        <f ca="1">IF(J203&gt;=9,(MID(N204,1,1)&amp;MID(N204,2,3)+1),CELL("address",AF204))</f>
        <v>$AF$204</v>
      </c>
      <c r="P204" s="138" t="str">
        <f ca="1">IF(J203&gt;=10,(MID(O204,1,1)&amp;MID(O204,2,3)+1),CELL("address",AG204))</f>
        <v>$AG$204</v>
      </c>
      <c r="Q204" s="138" t="str">
        <f ca="1">IF(J203&gt;=11,(MID(P204,1,1)&amp;MID(P204,2,3)+1),CELL("address",AH204))</f>
        <v>$AH$204</v>
      </c>
      <c r="R204" s="138" t="str">
        <f ca="1">IF(J203&gt;=12,(MID(Q204,1,1)&amp;MID(Q204,2,3)+1),CELL("address",AI204))</f>
        <v>$AI$204</v>
      </c>
    </row>
    <row r="205" spans="1:8" ht="15" customHeight="1">
      <c r="A205" s="231"/>
      <c r="B205" s="231"/>
      <c r="C205" s="231"/>
      <c r="D205" s="51" t="s">
        <v>92</v>
      </c>
      <c r="E205" s="52">
        <v>1.299</v>
      </c>
      <c r="G205" s="129" t="str">
        <f>CONCATENATE(D205," - ",E205,", ")</f>
        <v>4/core PVC Alumn. Cable scrap - 1.299, </v>
      </c>
      <c r="H205" s="142"/>
    </row>
    <row r="206" spans="1:8" ht="15" customHeight="1">
      <c r="A206" s="231"/>
      <c r="B206" s="231"/>
      <c r="C206" s="231"/>
      <c r="D206" s="51" t="s">
        <v>98</v>
      </c>
      <c r="E206" s="53">
        <v>0.143</v>
      </c>
      <c r="G206" s="129" t="str">
        <f>CONCATENATE(D206," - ",E206,", ")</f>
        <v>1/ core XLPE Alu cable scrap - 0.143, </v>
      </c>
      <c r="H206" s="142"/>
    </row>
    <row r="207" spans="1:8" ht="15" customHeight="1">
      <c r="A207" s="231"/>
      <c r="B207" s="231"/>
      <c r="C207" s="231"/>
      <c r="D207" s="51" t="s">
        <v>93</v>
      </c>
      <c r="E207" s="89">
        <v>3.689</v>
      </c>
      <c r="G207" s="129" t="str">
        <f>CONCATENATE(D207," - ",E207,", ")</f>
        <v>3/ core XLPE Alu cable scrap - 3.689, </v>
      </c>
      <c r="H207" s="142"/>
    </row>
    <row r="208" spans="1:8" ht="15" customHeight="1">
      <c r="A208" s="231"/>
      <c r="B208" s="231"/>
      <c r="C208" s="231"/>
      <c r="D208" s="51" t="s">
        <v>169</v>
      </c>
      <c r="E208" s="89">
        <v>4.934</v>
      </c>
      <c r="G208" s="129" t="str">
        <f>CONCATENATE(D208," - ",E208,", ")</f>
        <v>ABC cable scrap (70/95 mm) - 4.934, </v>
      </c>
      <c r="H208" s="142"/>
    </row>
    <row r="209" spans="1:8" ht="15" customHeight="1">
      <c r="A209" s="45"/>
      <c r="B209" s="47"/>
      <c r="C209" s="48"/>
      <c r="D209" s="95"/>
      <c r="E209" s="96"/>
      <c r="G209" s="129"/>
      <c r="H209" s="142"/>
    </row>
    <row r="210" spans="1:8" ht="15" customHeight="1">
      <c r="A210" s="45"/>
      <c r="B210" s="192"/>
      <c r="C210" s="193"/>
      <c r="D210" s="49"/>
      <c r="E210" s="50">
        <f>SUM(E212:E214)</f>
        <v>2.904</v>
      </c>
      <c r="G210" s="129"/>
      <c r="H210" s="142"/>
    </row>
    <row r="211" spans="1:18" ht="15" customHeight="1">
      <c r="A211" s="46" t="s">
        <v>5</v>
      </c>
      <c r="B211" s="232" t="s">
        <v>17</v>
      </c>
      <c r="C211" s="233"/>
      <c r="D211" s="187" t="s">
        <v>18</v>
      </c>
      <c r="E211" s="46" t="s">
        <v>7</v>
      </c>
      <c r="G211" s="131" t="str">
        <f>CONCATENATE("Cable Scrap, Lying at ",B212,". Quantity in MT - ")</f>
        <v>Cable Scrap, Lying at OL Mansa. Quantity in MT - </v>
      </c>
      <c r="H211" s="261" t="str">
        <f ca="1">CONCATENATE(G211,G212,(INDIRECT(I212)),(INDIRECT(J212)),(INDIRECT(K212)),(INDIRECT(L212)),(INDIRECT(M212)),(INDIRECT(N212)),(INDIRECT(O212)),(INDIRECT(P212)),(INDIRECT(Q212)),(INDIRECT(R212)),".")</f>
        <v>Cable Scrap, Lying at OL Mansa. Quantity in MT - 2/core PVC Alumn. Cable scrap - 0.369, 4/core PVC Alumn. Cable scrap - 1.149, 3/ core XLPE Alu cable scrap - 1.386, .</v>
      </c>
      <c r="I211" s="138" t="str">
        <f aca="true" ca="1" t="array" ref="I211">CELL("address",INDEX(G211:G233,MATCH(TRUE,ISBLANK(G211:G233),0)))</f>
        <v>$G$215</v>
      </c>
      <c r="J211" s="138">
        <f aca="true" t="array" ref="J211">MATCH(TRUE,ISBLANK(G211:G233),0)</f>
        <v>5</v>
      </c>
      <c r="K211" s="138">
        <f>J211-3</f>
        <v>2</v>
      </c>
      <c r="L211" s="138"/>
      <c r="M211" s="138"/>
      <c r="N211" s="138"/>
      <c r="O211" s="138"/>
      <c r="P211" s="138"/>
      <c r="Q211" s="138"/>
      <c r="R211" s="138"/>
    </row>
    <row r="212" spans="1:18" ht="15" customHeight="1">
      <c r="A212" s="231" t="s">
        <v>187</v>
      </c>
      <c r="B212" s="231" t="s">
        <v>60</v>
      </c>
      <c r="C212" s="231"/>
      <c r="D212" s="51" t="s">
        <v>91</v>
      </c>
      <c r="E212" s="52">
        <v>0.369</v>
      </c>
      <c r="G212" s="129" t="str">
        <f>CONCATENATE(D212," - ",E212,", ")</f>
        <v>2/core PVC Alumn. Cable scrap - 0.369, </v>
      </c>
      <c r="H212" s="261"/>
      <c r="I212" s="138" t="str">
        <f ca="1">IF(J211&gt;=3,(MID(I211,2,1)&amp;MID(I211,4,3)-K211),CELL("address",Z212))</f>
        <v>G213</v>
      </c>
      <c r="J212" s="138" t="str">
        <f ca="1">IF(J211&gt;=4,(MID(I212,1,1)&amp;MID(I212,2,3)+1),CELL("address",AA212))</f>
        <v>G214</v>
      </c>
      <c r="K212" s="138" t="str">
        <f ca="1">IF(J211&gt;=5,(MID(J212,1,1)&amp;MID(J212,2,3)+1),CELL("address",AB212))</f>
        <v>G215</v>
      </c>
      <c r="L212" s="138" t="str">
        <f ca="1">IF(J211&gt;=6,(MID(K212,1,1)&amp;MID(K212,2,3)+1),CELL("address",AC212))</f>
        <v>$AC$212</v>
      </c>
      <c r="M212" s="138" t="str">
        <f ca="1">IF(J211&gt;=7,(MID(L212,1,1)&amp;MID(L212,2,3)+1),CELL("address",AD212))</f>
        <v>$AD$212</v>
      </c>
      <c r="N212" s="138" t="str">
        <f ca="1">IF(J211&gt;=8,(MID(M212,1,1)&amp;MID(M212,2,3)+1),CELL("address",AE212))</f>
        <v>$AE$212</v>
      </c>
      <c r="O212" s="138" t="str">
        <f ca="1">IF(J211&gt;=9,(MID(N212,1,1)&amp;MID(N212,2,3)+1),CELL("address",AF212))</f>
        <v>$AF$212</v>
      </c>
      <c r="P212" s="138" t="str">
        <f ca="1">IF(J211&gt;=10,(MID(O212,1,1)&amp;MID(O212,2,3)+1),CELL("address",AG212))</f>
        <v>$AG$212</v>
      </c>
      <c r="Q212" s="138" t="str">
        <f ca="1">IF(J211&gt;=11,(MID(P212,1,1)&amp;MID(P212,2,3)+1),CELL("address",AH212))</f>
        <v>$AH$212</v>
      </c>
      <c r="R212" s="138" t="str">
        <f ca="1">IF(J211&gt;=12,(MID(Q212,1,1)&amp;MID(Q212,2,3)+1),CELL("address",AI212))</f>
        <v>$AI$212</v>
      </c>
    </row>
    <row r="213" spans="1:8" ht="15" customHeight="1">
      <c r="A213" s="231"/>
      <c r="B213" s="231"/>
      <c r="C213" s="231"/>
      <c r="D213" s="51" t="s">
        <v>92</v>
      </c>
      <c r="E213" s="52">
        <v>1.149</v>
      </c>
      <c r="G213" s="129" t="str">
        <f>CONCATENATE(D213," - ",E213,", ")</f>
        <v>4/core PVC Alumn. Cable scrap - 1.149, </v>
      </c>
      <c r="H213" s="142"/>
    </row>
    <row r="214" spans="1:8" ht="15" customHeight="1">
      <c r="A214" s="231"/>
      <c r="B214" s="231"/>
      <c r="C214" s="231"/>
      <c r="D214" s="51" t="s">
        <v>93</v>
      </c>
      <c r="E214" s="52">
        <v>1.386</v>
      </c>
      <c r="G214" s="129" t="str">
        <f>CONCATENATE(D214," - ",E214,", ")</f>
        <v>3/ core XLPE Alu cable scrap - 1.386, </v>
      </c>
      <c r="H214" s="142"/>
    </row>
    <row r="215" spans="1:8" ht="15" customHeight="1">
      <c r="A215" s="45"/>
      <c r="B215" s="47"/>
      <c r="C215" s="48"/>
      <c r="D215" s="95"/>
      <c r="E215" s="96"/>
      <c r="G215" s="129"/>
      <c r="H215" s="142"/>
    </row>
    <row r="216" spans="1:8" ht="15" customHeight="1">
      <c r="A216" s="45"/>
      <c r="B216" s="192"/>
      <c r="C216" s="193"/>
      <c r="D216" s="49"/>
      <c r="E216" s="50">
        <f>SUM(E218:E220)</f>
        <v>4.282</v>
      </c>
      <c r="G216" s="129"/>
      <c r="H216" s="142"/>
    </row>
    <row r="217" spans="1:18" ht="15" customHeight="1">
      <c r="A217" s="46" t="s">
        <v>5</v>
      </c>
      <c r="B217" s="232" t="s">
        <v>17</v>
      </c>
      <c r="C217" s="233"/>
      <c r="D217" s="187" t="s">
        <v>18</v>
      </c>
      <c r="E217" s="46" t="s">
        <v>7</v>
      </c>
      <c r="G217" s="131" t="str">
        <f>CONCATENATE("Cable Scrap, Lying at ",B218,". Quantity in MT - ")</f>
        <v>Cable Scrap, Lying at CS Kotkapura. Quantity in MT - </v>
      </c>
      <c r="H217" s="261" t="str">
        <f ca="1">CONCATENATE(G217,G218,(INDIRECT(I218)),(INDIRECT(J218)),(INDIRECT(K218)),(INDIRECT(L218)),(INDIRECT(M218)),(INDIRECT(N218)),(INDIRECT(O218)),(INDIRECT(P218)),(INDIRECT(Q218)),(INDIRECT(R218)),".")</f>
        <v>Cable Scrap, Lying at CS Kotkapura. Quantity in MT - 2/core PVC Alumn. Cable scrap - 0.832, 4/core PVC Alumn. Cable scrap - 1.556, 3/ core XLPE Alu cable scrap - 1.894, .</v>
      </c>
      <c r="I217" s="138" t="str">
        <f aca="true" ca="1" t="array" ref="I217">CELL("address",INDEX(G217:G240,MATCH(TRUE,ISBLANK(G217:G240),0)))</f>
        <v>$G$221</v>
      </c>
      <c r="J217" s="138">
        <f aca="true" t="array" ref="J217">MATCH(TRUE,ISBLANK(G217:G240),0)</f>
        <v>5</v>
      </c>
      <c r="K217" s="138">
        <f>J217-3</f>
        <v>2</v>
      </c>
      <c r="L217" s="138"/>
      <c r="M217" s="138"/>
      <c r="N217" s="138"/>
      <c r="O217" s="138"/>
      <c r="P217" s="138"/>
      <c r="Q217" s="138"/>
      <c r="R217" s="138"/>
    </row>
    <row r="218" spans="1:18" ht="15" customHeight="1">
      <c r="A218" s="231" t="s">
        <v>189</v>
      </c>
      <c r="B218" s="231" t="s">
        <v>43</v>
      </c>
      <c r="C218" s="231"/>
      <c r="D218" s="51" t="s">
        <v>91</v>
      </c>
      <c r="E218" s="52">
        <v>0.832</v>
      </c>
      <c r="G218" s="129" t="str">
        <f>CONCATENATE(D218," - ",E218,", ")</f>
        <v>2/core PVC Alumn. Cable scrap - 0.832, </v>
      </c>
      <c r="H218" s="261"/>
      <c r="I218" s="138" t="str">
        <f ca="1">IF(J217&gt;=3,(MID(I217,2,1)&amp;MID(I217,4,3)-K217),CELL("address",Z218))</f>
        <v>G219</v>
      </c>
      <c r="J218" s="138" t="str">
        <f ca="1">IF(J217&gt;=4,(MID(I218,1,1)&amp;MID(I218,2,3)+1),CELL("address",AA218))</f>
        <v>G220</v>
      </c>
      <c r="K218" s="138" t="str">
        <f ca="1">IF(J217&gt;=5,(MID(J218,1,1)&amp;MID(J218,2,3)+1),CELL("address",AB218))</f>
        <v>G221</v>
      </c>
      <c r="L218" s="138" t="str">
        <f ca="1">IF(J217&gt;=6,(MID(K218,1,1)&amp;MID(K218,2,3)+1),CELL("address",AC218))</f>
        <v>$AC$218</v>
      </c>
      <c r="M218" s="138" t="str">
        <f ca="1">IF(J217&gt;=7,(MID(L218,1,1)&amp;MID(L218,2,3)+1),CELL("address",AD218))</f>
        <v>$AD$218</v>
      </c>
      <c r="N218" s="138" t="str">
        <f ca="1">IF(J217&gt;=8,(MID(M218,1,1)&amp;MID(M218,2,3)+1),CELL("address",AE218))</f>
        <v>$AE$218</v>
      </c>
      <c r="O218" s="138" t="str">
        <f ca="1">IF(J217&gt;=9,(MID(N218,1,1)&amp;MID(N218,2,3)+1),CELL("address",AF218))</f>
        <v>$AF$218</v>
      </c>
      <c r="P218" s="138" t="str">
        <f ca="1">IF(J217&gt;=10,(MID(O218,1,1)&amp;MID(O218,2,3)+1),CELL("address",AG218))</f>
        <v>$AG$218</v>
      </c>
      <c r="Q218" s="138" t="str">
        <f ca="1">IF(J217&gt;=11,(MID(P218,1,1)&amp;MID(P218,2,3)+1),CELL("address",AH218))</f>
        <v>$AH$218</v>
      </c>
      <c r="R218" s="138" t="str">
        <f ca="1">IF(J217&gt;=12,(MID(Q218,1,1)&amp;MID(Q218,2,3)+1),CELL("address",AI218))</f>
        <v>$AI$218</v>
      </c>
    </row>
    <row r="219" spans="1:8" ht="15" customHeight="1">
      <c r="A219" s="231"/>
      <c r="B219" s="231"/>
      <c r="C219" s="231"/>
      <c r="D219" s="51" t="s">
        <v>92</v>
      </c>
      <c r="E219" s="52">
        <v>1.556</v>
      </c>
      <c r="G219" s="129" t="str">
        <f>CONCATENATE(D219," - ",E219,", ")</f>
        <v>4/core PVC Alumn. Cable scrap - 1.556, </v>
      </c>
      <c r="H219" s="142"/>
    </row>
    <row r="220" spans="1:8" ht="15" customHeight="1">
      <c r="A220" s="231"/>
      <c r="B220" s="231"/>
      <c r="C220" s="231"/>
      <c r="D220" s="51" t="s">
        <v>93</v>
      </c>
      <c r="E220" s="53">
        <v>1.894</v>
      </c>
      <c r="G220" s="129" t="str">
        <f>CONCATENATE(D220," - ",E220,", ")</f>
        <v>3/ core XLPE Alu cable scrap - 1.894, </v>
      </c>
      <c r="H220" s="142"/>
    </row>
    <row r="221" spans="1:8" ht="15" customHeight="1">
      <c r="A221" s="45"/>
      <c r="B221" s="47"/>
      <c r="C221" s="48"/>
      <c r="D221" s="39"/>
      <c r="E221" s="55"/>
      <c r="G221" s="129"/>
      <c r="H221" s="142"/>
    </row>
    <row r="222" spans="1:8" ht="15" customHeight="1">
      <c r="A222" s="45"/>
      <c r="B222" s="192"/>
      <c r="C222" s="193"/>
      <c r="D222" s="49"/>
      <c r="E222" s="50">
        <f>SUM(E224:E227)</f>
        <v>2.9200000000000004</v>
      </c>
      <c r="G222" s="129"/>
      <c r="H222" s="142"/>
    </row>
    <row r="223" spans="1:18" ht="15" customHeight="1">
      <c r="A223" s="46" t="s">
        <v>5</v>
      </c>
      <c r="B223" s="232" t="s">
        <v>17</v>
      </c>
      <c r="C223" s="233"/>
      <c r="D223" s="187" t="s">
        <v>18</v>
      </c>
      <c r="E223" s="46" t="s">
        <v>7</v>
      </c>
      <c r="G223" s="131" t="str">
        <f>CONCATENATE("Cable Scrap, Lying at ",B224,". Quantity in MT - ")</f>
        <v>Cable Scrap, Lying at OL Patran. Quantity in MT - </v>
      </c>
      <c r="H223" s="261" t="str">
        <f ca="1">CONCATENATE(G223,G224,(INDIRECT(I224)),(INDIRECT(J224)),(INDIRECT(K224)),(INDIRECT(L224)),(INDIRECT(M224)),(INDIRECT(N224)),(INDIRECT(O224)),(INDIRECT(P224)),(INDIRECT(Q224)),(INDIRECT(R224)),".")</f>
        <v>Cable Scrap, Lying at OL Patran. Quantity in MT - 2/core PVC Alumn. Cable scrap - 0.435, 4/core PVC Alumn. Cable scrap - 0.745, 3/ core XLPE Alu cable scrap - 1.475, ABC cable scrap (150 mm) - 0.265, .</v>
      </c>
      <c r="I223" s="138" t="str">
        <f aca="true" ca="1" t="array" ref="I223">CELL("address",INDEX(G223:G246,MATCH(TRUE,ISBLANK(G223:G246),0)))</f>
        <v>$G$228</v>
      </c>
      <c r="J223" s="138">
        <f aca="true" t="array" ref="J223">MATCH(TRUE,ISBLANK(G223:G246),0)</f>
        <v>6</v>
      </c>
      <c r="K223" s="138">
        <f>J223-3</f>
        <v>3</v>
      </c>
      <c r="L223" s="138"/>
      <c r="M223" s="138"/>
      <c r="N223" s="138"/>
      <c r="O223" s="138"/>
      <c r="P223" s="138"/>
      <c r="Q223" s="138"/>
      <c r="R223" s="138"/>
    </row>
    <row r="224" spans="1:18" ht="15" customHeight="1">
      <c r="A224" s="231" t="s">
        <v>168</v>
      </c>
      <c r="B224" s="231" t="s">
        <v>103</v>
      </c>
      <c r="C224" s="231"/>
      <c r="D224" s="51" t="s">
        <v>91</v>
      </c>
      <c r="E224" s="52">
        <v>0.435</v>
      </c>
      <c r="G224" s="129" t="str">
        <f>CONCATENATE(D224," - ",E224,", ")</f>
        <v>2/core PVC Alumn. Cable scrap - 0.435, </v>
      </c>
      <c r="H224" s="261"/>
      <c r="I224" s="138" t="str">
        <f ca="1">IF(J223&gt;=3,(MID(I223,2,1)&amp;MID(I223,4,3)-K223),CELL("address",Z224))</f>
        <v>G225</v>
      </c>
      <c r="J224" s="138" t="str">
        <f ca="1">IF(J223&gt;=4,(MID(I224,1,1)&amp;MID(I224,2,3)+1),CELL("address",AA224))</f>
        <v>G226</v>
      </c>
      <c r="K224" s="138" t="str">
        <f ca="1">IF(J223&gt;=5,(MID(J224,1,1)&amp;MID(J224,2,3)+1),CELL("address",AB224))</f>
        <v>G227</v>
      </c>
      <c r="L224" s="138" t="str">
        <f ca="1">IF(J223&gt;=6,(MID(K224,1,1)&amp;MID(K224,2,3)+1),CELL("address",AC224))</f>
        <v>G228</v>
      </c>
      <c r="M224" s="138" t="str">
        <f ca="1">IF(J223&gt;=7,(MID(L224,1,1)&amp;MID(L224,2,3)+1),CELL("address",AD224))</f>
        <v>$AD$224</v>
      </c>
      <c r="N224" s="138" t="str">
        <f ca="1">IF(J223&gt;=8,(MID(M224,1,1)&amp;MID(M224,2,3)+1),CELL("address",AE224))</f>
        <v>$AE$224</v>
      </c>
      <c r="O224" s="138" t="str">
        <f ca="1">IF(J223&gt;=9,(MID(N224,1,1)&amp;MID(N224,2,3)+1),CELL("address",AF224))</f>
        <v>$AF$224</v>
      </c>
      <c r="P224" s="138" t="str">
        <f ca="1">IF(J223&gt;=10,(MID(O224,1,1)&amp;MID(O224,2,3)+1),CELL("address",AG224))</f>
        <v>$AG$224</v>
      </c>
      <c r="Q224" s="138" t="str">
        <f ca="1">IF(J223&gt;=11,(MID(P224,1,1)&amp;MID(P224,2,3)+1),CELL("address",AH224))</f>
        <v>$AH$224</v>
      </c>
      <c r="R224" s="138" t="str">
        <f ca="1">IF(J223&gt;=12,(MID(Q224,1,1)&amp;MID(Q224,2,3)+1),CELL("address",AI224))</f>
        <v>$AI$224</v>
      </c>
    </row>
    <row r="225" spans="1:8" ht="15" customHeight="1">
      <c r="A225" s="231"/>
      <c r="B225" s="231"/>
      <c r="C225" s="231"/>
      <c r="D225" s="51" t="s">
        <v>92</v>
      </c>
      <c r="E225" s="52">
        <v>0.745</v>
      </c>
      <c r="G225" s="129" t="str">
        <f>CONCATENATE(D225," - ",E225,", ")</f>
        <v>4/core PVC Alumn. Cable scrap - 0.745, </v>
      </c>
      <c r="H225" s="143"/>
    </row>
    <row r="226" spans="1:8" ht="15" customHeight="1">
      <c r="A226" s="231"/>
      <c r="B226" s="231"/>
      <c r="C226" s="231"/>
      <c r="D226" s="51" t="s">
        <v>93</v>
      </c>
      <c r="E226" s="52">
        <v>1.475</v>
      </c>
      <c r="G226" s="129" t="str">
        <f>CONCATENATE(D226," - ",E226,", ")</f>
        <v>3/ core XLPE Alu cable scrap - 1.475, </v>
      </c>
      <c r="H226" s="142"/>
    </row>
    <row r="227" spans="1:8" ht="15" customHeight="1">
      <c r="A227" s="231"/>
      <c r="B227" s="231"/>
      <c r="C227" s="231"/>
      <c r="D227" s="51" t="s">
        <v>248</v>
      </c>
      <c r="E227" s="52">
        <v>0.265</v>
      </c>
      <c r="G227" s="129" t="str">
        <f>CONCATENATE(D227," - ",E227,", ")</f>
        <v>ABC cable scrap (150 mm) - 0.265, </v>
      </c>
      <c r="H227" s="142"/>
    </row>
    <row r="228" spans="1:8" ht="15" customHeight="1">
      <c r="A228" s="45"/>
      <c r="B228" s="47"/>
      <c r="C228" s="48"/>
      <c r="D228" s="39"/>
      <c r="E228" s="55"/>
      <c r="G228" s="129"/>
      <c r="H228" s="142"/>
    </row>
    <row r="229" spans="1:8" ht="15" customHeight="1">
      <c r="A229" s="45"/>
      <c r="B229" s="54"/>
      <c r="C229" s="188"/>
      <c r="D229" s="185"/>
      <c r="E229" s="103">
        <f>SUM(E231:E234)</f>
        <v>1.907</v>
      </c>
      <c r="G229" s="131"/>
      <c r="H229" s="142"/>
    </row>
    <row r="230" spans="1:18" ht="15" customHeight="1">
      <c r="A230" s="46" t="s">
        <v>5</v>
      </c>
      <c r="B230" s="232" t="s">
        <v>17</v>
      </c>
      <c r="C230" s="233"/>
      <c r="D230" s="187" t="s">
        <v>18</v>
      </c>
      <c r="E230" s="46" t="s">
        <v>7</v>
      </c>
      <c r="G230" s="131" t="str">
        <f>CONCATENATE("Cable Scrap, Lying at ",B231,". Quantity in MT - ")</f>
        <v>Cable Scrap, Lying at OL Ropar. Quantity in MT - </v>
      </c>
      <c r="H230" s="261" t="str">
        <f ca="1">CONCATENATE(G230,G231,(INDIRECT(I231)),(INDIRECT(J231)),(INDIRECT(K231)),(INDIRECT(L231)),(INDIRECT(M231)),(INDIRECT(N231)),(INDIRECT(O231)),(INDIRECT(P231)),(INDIRECT(Q231)),(INDIRECT(R231)),".")</f>
        <v>Cable Scrap, Lying at OL Ropar. Quantity in MT - 2/core PVC Alumn. Cable scrap - 0.203, 4/core PVC Alumn. Cable scrap - 0.327, 3/ core XLPE Alu cable scrap - 1.36, 1/core PVC Alumn. Cable scrap - 0.017, .</v>
      </c>
      <c r="I230" s="138" t="str">
        <f aca="true" ca="1" t="array" ref="I230">CELL("address",INDEX(G230:G253,MATCH(TRUE,ISBLANK(G230:G253),0)))</f>
        <v>$G$235</v>
      </c>
      <c r="J230" s="138">
        <f aca="true" t="array" ref="J230">MATCH(TRUE,ISBLANK(G230:G253),0)</f>
        <v>6</v>
      </c>
      <c r="K230" s="138">
        <f>J230-3</f>
        <v>3</v>
      </c>
      <c r="L230" s="138"/>
      <c r="M230" s="138"/>
      <c r="N230" s="138"/>
      <c r="O230" s="138"/>
      <c r="P230" s="138"/>
      <c r="Q230" s="138"/>
      <c r="R230" s="138"/>
    </row>
    <row r="231" spans="1:18" ht="15" customHeight="1">
      <c r="A231" s="231" t="s">
        <v>170</v>
      </c>
      <c r="B231" s="231" t="s">
        <v>99</v>
      </c>
      <c r="C231" s="231"/>
      <c r="D231" s="51" t="s">
        <v>91</v>
      </c>
      <c r="E231" s="53">
        <v>0.203</v>
      </c>
      <c r="G231" s="129" t="str">
        <f>CONCATENATE(D231," - ",E231,", ")</f>
        <v>2/core PVC Alumn. Cable scrap - 0.203, </v>
      </c>
      <c r="H231" s="261"/>
      <c r="I231" s="138" t="str">
        <f ca="1">IF(J230&gt;=3,(MID(I230,2,1)&amp;MID(I230,4,3)-K230),CELL("address",Z231))</f>
        <v>G232</v>
      </c>
      <c r="J231" s="138" t="str">
        <f ca="1">IF(J230&gt;=4,(MID(I231,1,1)&amp;MID(I231,2,3)+1),CELL("address",AA231))</f>
        <v>G233</v>
      </c>
      <c r="K231" s="138" t="str">
        <f ca="1">IF(J230&gt;=5,(MID(J231,1,1)&amp;MID(J231,2,3)+1),CELL("address",AB231))</f>
        <v>G234</v>
      </c>
      <c r="L231" s="138" t="str">
        <f ca="1">IF(J230&gt;=6,(MID(K231,1,1)&amp;MID(K231,2,3)+1),CELL("address",AC231))</f>
        <v>G235</v>
      </c>
      <c r="M231" s="138" t="str">
        <f ca="1">IF(J230&gt;=7,(MID(L231,1,1)&amp;MID(L231,2,3)+1),CELL("address",AD231))</f>
        <v>$AD$231</v>
      </c>
      <c r="N231" s="138" t="str">
        <f ca="1">IF(J230&gt;=8,(MID(M231,1,1)&amp;MID(M231,2,3)+1),CELL("address",AE231))</f>
        <v>$AE$231</v>
      </c>
      <c r="O231" s="138" t="str">
        <f ca="1">IF(J230&gt;=9,(MID(N231,1,1)&amp;MID(N231,2,3)+1),CELL("address",AF231))</f>
        <v>$AF$231</v>
      </c>
      <c r="P231" s="138" t="str">
        <f ca="1">IF(J230&gt;=10,(MID(O231,1,1)&amp;MID(O231,2,3)+1),CELL("address",AG231))</f>
        <v>$AG$231</v>
      </c>
      <c r="Q231" s="138" t="str">
        <f ca="1">IF(J230&gt;=11,(MID(P231,1,1)&amp;MID(P231,2,3)+1),CELL("address",AH231))</f>
        <v>$AH$231</v>
      </c>
      <c r="R231" s="138" t="str">
        <f ca="1">IF(J230&gt;=12,(MID(Q231,1,1)&amp;MID(Q231,2,3)+1),CELL("address",AI231))</f>
        <v>$AI$231</v>
      </c>
    </row>
    <row r="232" spans="1:8" ht="15" customHeight="1">
      <c r="A232" s="231"/>
      <c r="B232" s="231"/>
      <c r="C232" s="231"/>
      <c r="D232" s="51" t="s">
        <v>92</v>
      </c>
      <c r="E232" s="53">
        <v>0.327</v>
      </c>
      <c r="G232" s="129" t="str">
        <f>CONCATENATE(D232," - ",E232,", ")</f>
        <v>4/core PVC Alumn. Cable scrap - 0.327, </v>
      </c>
      <c r="H232" s="142"/>
    </row>
    <row r="233" spans="1:8" ht="15" customHeight="1">
      <c r="A233" s="231"/>
      <c r="B233" s="231"/>
      <c r="C233" s="231"/>
      <c r="D233" s="51" t="s">
        <v>93</v>
      </c>
      <c r="E233" s="53">
        <v>1.36</v>
      </c>
      <c r="G233" s="129" t="str">
        <f>CONCATENATE(D233," - ",E233,", ")</f>
        <v>3/ core XLPE Alu cable scrap - 1.36, </v>
      </c>
      <c r="H233" s="142"/>
    </row>
    <row r="234" spans="1:8" ht="15" customHeight="1">
      <c r="A234" s="231"/>
      <c r="B234" s="231"/>
      <c r="C234" s="231"/>
      <c r="D234" s="51" t="s">
        <v>172</v>
      </c>
      <c r="E234" s="53">
        <v>0.017</v>
      </c>
      <c r="G234" s="129" t="str">
        <f>CONCATENATE(D234," - ",E234,", ")</f>
        <v>1/core PVC Alumn. Cable scrap - 0.017, </v>
      </c>
      <c r="H234" s="142"/>
    </row>
    <row r="235" spans="1:8" ht="15" customHeight="1">
      <c r="A235" s="45"/>
      <c r="B235" s="47"/>
      <c r="C235" s="48"/>
      <c r="D235" s="39"/>
      <c r="E235" s="55"/>
      <c r="G235" s="129"/>
      <c r="H235" s="142"/>
    </row>
    <row r="236" spans="1:8" ht="15" customHeight="1">
      <c r="A236" s="45"/>
      <c r="B236" s="54"/>
      <c r="C236" s="188"/>
      <c r="D236" s="185"/>
      <c r="E236" s="103">
        <f>SUM(E238:E240)</f>
        <v>6.015</v>
      </c>
      <c r="G236" s="129"/>
      <c r="H236" s="142"/>
    </row>
    <row r="237" spans="1:18" ht="15" customHeight="1">
      <c r="A237" s="46" t="s">
        <v>5</v>
      </c>
      <c r="B237" s="232" t="s">
        <v>17</v>
      </c>
      <c r="C237" s="233"/>
      <c r="D237" s="187" t="s">
        <v>18</v>
      </c>
      <c r="E237" s="46" t="s">
        <v>7</v>
      </c>
      <c r="G237" s="131" t="str">
        <f>CONCATENATE("Cable Scrap, Lying at ",B238,". Quantity in MT - ")</f>
        <v>Cable Scrap, Lying at CS Malout. Quantity in MT - </v>
      </c>
      <c r="H237" s="261" t="str">
        <f ca="1">CONCATENATE(G237,G238,(INDIRECT(I238)),(INDIRECT(J238)),(INDIRECT(K238)),(INDIRECT(L238)),(INDIRECT(M238)),(INDIRECT(N238)),(INDIRECT(O238)),(INDIRECT(P238)),(INDIRECT(Q238)),(INDIRECT(R238)),".")</f>
        <v>Cable Scrap, Lying at CS Malout. Quantity in MT - 2/core PVC Alumn. Cable scrap - 1.034, 4/core PVC Alumn. Cable scrap - 1.096, 3/ core XLPE Alu cable scrap - 3.885, .</v>
      </c>
      <c r="I237" s="138" t="str">
        <f aca="true" ca="1" t="array" ref="I237">CELL("address",INDEX(G237:G259,MATCH(TRUE,ISBLANK(G237:G259),0)))</f>
        <v>$G$241</v>
      </c>
      <c r="J237" s="138">
        <f aca="true" t="array" ref="J237">MATCH(TRUE,ISBLANK(G237:G259),0)</f>
        <v>5</v>
      </c>
      <c r="K237" s="138">
        <f>J237-3</f>
        <v>2</v>
      </c>
      <c r="L237" s="138"/>
      <c r="M237" s="138"/>
      <c r="N237" s="138"/>
      <c r="O237" s="138"/>
      <c r="P237" s="138"/>
      <c r="Q237" s="138"/>
      <c r="R237" s="138"/>
    </row>
    <row r="238" spans="1:18" ht="15" customHeight="1">
      <c r="A238" s="231" t="s">
        <v>171</v>
      </c>
      <c r="B238" s="231" t="s">
        <v>96</v>
      </c>
      <c r="C238" s="231"/>
      <c r="D238" s="51" t="s">
        <v>91</v>
      </c>
      <c r="E238" s="53">
        <v>1.034</v>
      </c>
      <c r="G238" s="129" t="str">
        <f>CONCATENATE(D238," - ",E238,", ")</f>
        <v>2/core PVC Alumn. Cable scrap - 1.034, </v>
      </c>
      <c r="H238" s="261"/>
      <c r="I238" s="138" t="str">
        <f ca="1">IF(J237&gt;=3,(MID(I237,2,1)&amp;MID(I237,4,3)-K237),CELL("address",Z238))</f>
        <v>G239</v>
      </c>
      <c r="J238" s="138" t="str">
        <f ca="1">IF(J237&gt;=4,(MID(I238,1,1)&amp;MID(I238,2,3)+1),CELL("address",AA238))</f>
        <v>G240</v>
      </c>
      <c r="K238" s="138" t="str">
        <f ca="1">IF(J237&gt;=5,(MID(J238,1,1)&amp;MID(J238,2,3)+1),CELL("address",AB238))</f>
        <v>G241</v>
      </c>
      <c r="L238" s="138" t="str">
        <f ca="1">IF(J237&gt;=6,(MID(K238,1,1)&amp;MID(K238,2,3)+1),CELL("address",AC238))</f>
        <v>$AC$238</v>
      </c>
      <c r="M238" s="138" t="str">
        <f ca="1">IF(J237&gt;=7,(MID(L238,1,1)&amp;MID(L238,2,3)+1),CELL("address",AD238))</f>
        <v>$AD$238</v>
      </c>
      <c r="N238" s="138" t="str">
        <f ca="1">IF(J237&gt;=8,(MID(M238,1,1)&amp;MID(M238,2,3)+1),CELL("address",AE238))</f>
        <v>$AE$238</v>
      </c>
      <c r="O238" s="138" t="str">
        <f ca="1">IF(J237&gt;=9,(MID(N238,1,1)&amp;MID(N238,2,3)+1),CELL("address",AF238))</f>
        <v>$AF$238</v>
      </c>
      <c r="P238" s="138" t="str">
        <f ca="1">IF(J237&gt;=10,(MID(O238,1,1)&amp;MID(O238,2,3)+1),CELL("address",AG238))</f>
        <v>$AG$238</v>
      </c>
      <c r="Q238" s="138" t="str">
        <f ca="1">IF(J237&gt;=11,(MID(P238,1,1)&amp;MID(P238,2,3)+1),CELL("address",AH238))</f>
        <v>$AH$238</v>
      </c>
      <c r="R238" s="138" t="str">
        <f ca="1">IF(J237&gt;=12,(MID(Q238,1,1)&amp;MID(Q238,2,3)+1),CELL("address",AI238))</f>
        <v>$AI$238</v>
      </c>
    </row>
    <row r="239" spans="1:8" ht="15" customHeight="1">
      <c r="A239" s="231"/>
      <c r="B239" s="231"/>
      <c r="C239" s="231"/>
      <c r="D239" s="51" t="s">
        <v>92</v>
      </c>
      <c r="E239" s="53">
        <v>1.096</v>
      </c>
      <c r="G239" s="129" t="str">
        <f>CONCATENATE(D239," - ",E239,", ")</f>
        <v>4/core PVC Alumn. Cable scrap - 1.096, </v>
      </c>
      <c r="H239" s="143"/>
    </row>
    <row r="240" spans="1:8" ht="15" customHeight="1">
      <c r="A240" s="231"/>
      <c r="B240" s="231"/>
      <c r="C240" s="231"/>
      <c r="D240" s="51" t="s">
        <v>93</v>
      </c>
      <c r="E240" s="53">
        <v>3.885</v>
      </c>
      <c r="G240" s="129" t="str">
        <f>CONCATENATE(D240," - ",E240,", ")</f>
        <v>3/ core XLPE Alu cable scrap - 3.885, </v>
      </c>
      <c r="H240" s="142"/>
    </row>
    <row r="241" spans="1:8" ht="15" customHeight="1">
      <c r="A241" s="45"/>
      <c r="B241" s="47"/>
      <c r="C241" s="48"/>
      <c r="D241" s="51"/>
      <c r="E241" s="53"/>
      <c r="G241" s="129"/>
      <c r="H241" s="142"/>
    </row>
    <row r="242" spans="1:8" ht="15" customHeight="1">
      <c r="A242" s="45"/>
      <c r="B242" s="54"/>
      <c r="C242" s="188"/>
      <c r="D242" s="185"/>
      <c r="E242" s="103">
        <f>SUM(E244:E247)</f>
        <v>1.9180000000000001</v>
      </c>
      <c r="G242" s="129"/>
      <c r="H242" s="142"/>
    </row>
    <row r="243" spans="1:18" ht="15" customHeight="1">
      <c r="A243" s="46" t="s">
        <v>5</v>
      </c>
      <c r="B243" s="232" t="s">
        <v>17</v>
      </c>
      <c r="C243" s="233"/>
      <c r="D243" s="187" t="s">
        <v>18</v>
      </c>
      <c r="E243" s="46" t="s">
        <v>7</v>
      </c>
      <c r="G243" s="131" t="str">
        <f>CONCATENATE("Cable Scrap, Lying at ",B244,". Quantity in MT - ")</f>
        <v>Cable Scrap, Lying at OL Nabha. Quantity in MT - </v>
      </c>
      <c r="H243" s="261" t="str">
        <f ca="1">CONCATENATE(G243,G244,(INDIRECT(I244)),(INDIRECT(J244)),(INDIRECT(K244)),(INDIRECT(L244)),(INDIRECT(M244)),(INDIRECT(N244)),(INDIRECT(O244)),(INDIRECT(P244)),(INDIRECT(Q244)),(INDIRECT(R244)),".")</f>
        <v>Cable Scrap, Lying at OL Nabha. Quantity in MT - 2/core PVC Alumn. Cable scrap - 0.355, 4/core PVC Alumn. Cable scrap - 0.661, 3/ core XLPE Alu cable scrap - 0.862, ABC cable scrap (70/95 mm) - 0.04, .</v>
      </c>
      <c r="I243" s="138" t="str">
        <f aca="true" ca="1" t="array" ref="I243">CELL("address",INDEX(G243:G265,MATCH(TRUE,ISBLANK(G243:G265),0)))</f>
        <v>$G$248</v>
      </c>
      <c r="J243" s="138">
        <f aca="true" t="array" ref="J243">MATCH(TRUE,ISBLANK(G243:G265),0)</f>
        <v>6</v>
      </c>
      <c r="K243" s="138">
        <f>J243-3</f>
        <v>3</v>
      </c>
      <c r="L243" s="138"/>
      <c r="M243" s="138"/>
      <c r="N243" s="138"/>
      <c r="O243" s="138"/>
      <c r="P243" s="138"/>
      <c r="Q243" s="138"/>
      <c r="R243" s="138"/>
    </row>
    <row r="244" spans="1:18" ht="15" customHeight="1">
      <c r="A244" s="231" t="s">
        <v>173</v>
      </c>
      <c r="B244" s="231" t="s">
        <v>106</v>
      </c>
      <c r="C244" s="231"/>
      <c r="D244" s="51" t="s">
        <v>91</v>
      </c>
      <c r="E244" s="53">
        <v>0.355</v>
      </c>
      <c r="G244" s="129" t="str">
        <f>CONCATENATE(D244," - ",E244,", ")</f>
        <v>2/core PVC Alumn. Cable scrap - 0.355, </v>
      </c>
      <c r="H244" s="261"/>
      <c r="I244" s="138" t="str">
        <f ca="1">IF(J243&gt;=3,(MID(I243,2,1)&amp;MID(I243,4,3)-K243),CELL("address",Z244))</f>
        <v>G245</v>
      </c>
      <c r="J244" s="138" t="str">
        <f ca="1">IF(J243&gt;=4,(MID(I244,1,1)&amp;MID(I244,2,3)+1),CELL("address",AA244))</f>
        <v>G246</v>
      </c>
      <c r="K244" s="138" t="str">
        <f ca="1">IF(J243&gt;=5,(MID(J244,1,1)&amp;MID(J244,2,3)+1),CELL("address",AB244))</f>
        <v>G247</v>
      </c>
      <c r="L244" s="138" t="str">
        <f ca="1">IF(J243&gt;=6,(MID(K244,1,1)&amp;MID(K244,2,3)+1),CELL("address",AC244))</f>
        <v>G248</v>
      </c>
      <c r="M244" s="138" t="str">
        <f ca="1">IF(J243&gt;=7,(MID(L244,1,1)&amp;MID(L244,2,3)+1),CELL("address",AD244))</f>
        <v>$AD$244</v>
      </c>
      <c r="N244" s="138" t="str">
        <f ca="1">IF(J243&gt;=8,(MID(M244,1,1)&amp;MID(M244,2,3)+1),CELL("address",AE244))</f>
        <v>$AE$244</v>
      </c>
      <c r="O244" s="138" t="str">
        <f ca="1">IF(J243&gt;=9,(MID(N244,1,1)&amp;MID(N244,2,3)+1),CELL("address",AF244))</f>
        <v>$AF$244</v>
      </c>
      <c r="P244" s="138" t="str">
        <f ca="1">IF(J243&gt;=10,(MID(O244,1,1)&amp;MID(O244,2,3)+1),CELL("address",AG244))</f>
        <v>$AG$244</v>
      </c>
      <c r="Q244" s="138" t="str">
        <f ca="1">IF(J243&gt;=11,(MID(P244,1,1)&amp;MID(P244,2,3)+1),CELL("address",AH244))</f>
        <v>$AH$244</v>
      </c>
      <c r="R244" s="138" t="str">
        <f ca="1">IF(J243&gt;=12,(MID(Q244,1,1)&amp;MID(Q244,2,3)+1),CELL("address",AI244))</f>
        <v>$AI$244</v>
      </c>
    </row>
    <row r="245" spans="1:8" ht="15" customHeight="1">
      <c r="A245" s="231"/>
      <c r="B245" s="231"/>
      <c r="C245" s="231"/>
      <c r="D245" s="51" t="s">
        <v>92</v>
      </c>
      <c r="E245" s="53">
        <v>0.661</v>
      </c>
      <c r="G245" s="129" t="str">
        <f>CONCATENATE(D245," - ",E245,", ")</f>
        <v>4/core PVC Alumn. Cable scrap - 0.661, </v>
      </c>
      <c r="H245" s="142"/>
    </row>
    <row r="246" spans="1:8" ht="15" customHeight="1">
      <c r="A246" s="231"/>
      <c r="B246" s="231"/>
      <c r="C246" s="231"/>
      <c r="D246" s="51" t="s">
        <v>93</v>
      </c>
      <c r="E246" s="53">
        <v>0.862</v>
      </c>
      <c r="G246" s="129" t="str">
        <f>CONCATENATE(D246," - ",E246,", ")</f>
        <v>3/ core XLPE Alu cable scrap - 0.862, </v>
      </c>
      <c r="H246" s="142"/>
    </row>
    <row r="247" spans="1:8" ht="15" customHeight="1">
      <c r="A247" s="231"/>
      <c r="B247" s="231"/>
      <c r="C247" s="231"/>
      <c r="D247" s="51" t="s">
        <v>169</v>
      </c>
      <c r="E247" s="53">
        <v>0.04</v>
      </c>
      <c r="G247" s="129" t="str">
        <f>CONCATENATE(D247," - ",E247,", ")</f>
        <v>ABC cable scrap (70/95 mm) - 0.04, </v>
      </c>
      <c r="H247" s="142"/>
    </row>
    <row r="248" spans="1:8" ht="15" customHeight="1">
      <c r="A248" s="45"/>
      <c r="B248" s="47"/>
      <c r="C248" s="48"/>
      <c r="D248" s="39"/>
      <c r="E248" s="55"/>
      <c r="G248" s="129"/>
      <c r="H248" s="142"/>
    </row>
    <row r="249" spans="1:8" ht="15" customHeight="1">
      <c r="A249" s="45"/>
      <c r="B249" s="192"/>
      <c r="C249" s="193"/>
      <c r="D249" s="49"/>
      <c r="E249" s="50">
        <f>SUM(E251:E254)</f>
        <v>5.704000000000001</v>
      </c>
      <c r="G249" s="129"/>
      <c r="H249" s="142"/>
    </row>
    <row r="250" spans="1:18" ht="15" customHeight="1">
      <c r="A250" s="46" t="s">
        <v>5</v>
      </c>
      <c r="B250" s="232" t="s">
        <v>17</v>
      </c>
      <c r="C250" s="233"/>
      <c r="D250" s="187" t="s">
        <v>18</v>
      </c>
      <c r="E250" s="46" t="s">
        <v>7</v>
      </c>
      <c r="G250" s="131" t="str">
        <f>CONCATENATE("Cable Scrap, Lying at ",B251,". Quantity in MT - ")</f>
        <v>Cable Scrap, Lying at CS Patiala. Quantity in MT - </v>
      </c>
      <c r="H250" s="261" t="str">
        <f ca="1">CONCATENATE(G250,G251,(INDIRECT(I251)),(INDIRECT(J251)),(INDIRECT(K251)),(INDIRECT(L251)),(INDIRECT(M251)),(INDIRECT(N251)),(INDIRECT(O251)),(INDIRECT(P251)),(INDIRECT(Q251)),(INDIRECT(R251)),".")</f>
        <v>Cable Scrap, Lying at CS Patiala. Quantity in MT - 1/core PVC Alumn. Cable scrap - 0.301, 2/core PVC Alumn. Cable scrap - 1.016, 4/core PVC Alumn. Cable scrap - 2.38, 3/ core XLPE Alu cable scrap - 2.007, .</v>
      </c>
      <c r="I250" s="138" t="str">
        <f aca="true" ca="1" t="array" ref="I250">CELL("address",INDEX(G250:G273,MATCH(TRUE,ISBLANK(G250:G273),0)))</f>
        <v>$G$255</v>
      </c>
      <c r="J250" s="138">
        <f aca="true" t="array" ref="J250">MATCH(TRUE,ISBLANK(G250:G273),0)</f>
        <v>6</v>
      </c>
      <c r="K250" s="138">
        <f>J250-3</f>
        <v>3</v>
      </c>
      <c r="L250" s="138"/>
      <c r="M250" s="138"/>
      <c r="N250" s="138"/>
      <c r="O250" s="138"/>
      <c r="P250" s="138"/>
      <c r="Q250" s="138"/>
      <c r="R250" s="138"/>
    </row>
    <row r="251" spans="1:18" ht="15" customHeight="1">
      <c r="A251" s="231" t="s">
        <v>174</v>
      </c>
      <c r="B251" s="231" t="s">
        <v>53</v>
      </c>
      <c r="C251" s="231"/>
      <c r="D251" s="51" t="s">
        <v>172</v>
      </c>
      <c r="E251" s="46">
        <v>0.301</v>
      </c>
      <c r="G251" s="129" t="str">
        <f>CONCATENATE(D251," - ",E251,", ")</f>
        <v>1/core PVC Alumn. Cable scrap - 0.301, </v>
      </c>
      <c r="H251" s="261"/>
      <c r="I251" s="138" t="str">
        <f ca="1">IF(J250&gt;=3,(MID(I250,2,1)&amp;MID(I250,4,3)-K250),CELL("address",Z251))</f>
        <v>G252</v>
      </c>
      <c r="J251" s="138" t="str">
        <f ca="1">IF(J250&gt;=4,(MID(I251,1,1)&amp;MID(I251,2,3)+1),CELL("address",AA251))</f>
        <v>G253</v>
      </c>
      <c r="K251" s="138" t="str">
        <f ca="1">IF(J250&gt;=5,(MID(J251,1,1)&amp;MID(J251,2,3)+1),CELL("address",AB251))</f>
        <v>G254</v>
      </c>
      <c r="L251" s="138" t="str">
        <f ca="1">IF(J250&gt;=6,(MID(K251,1,1)&amp;MID(K251,2,3)+1),CELL("address",AC251))</f>
        <v>G255</v>
      </c>
      <c r="M251" s="138" t="str">
        <f ca="1">IF(J250&gt;=7,(MID(L251,1,1)&amp;MID(L251,2,3)+1),CELL("address",AD251))</f>
        <v>$AD$251</v>
      </c>
      <c r="N251" s="138" t="str">
        <f ca="1">IF(J250&gt;=8,(MID(M251,1,1)&amp;MID(M251,2,3)+1),CELL("address",AE251))</f>
        <v>$AE$251</v>
      </c>
      <c r="O251" s="138" t="str">
        <f ca="1">IF(J250&gt;=9,(MID(N251,1,1)&amp;MID(N251,2,3)+1),CELL("address",AF251))</f>
        <v>$AF$251</v>
      </c>
      <c r="P251" s="138" t="str">
        <f ca="1">IF(J250&gt;=10,(MID(O251,1,1)&amp;MID(O251,2,3)+1),CELL("address",AG251))</f>
        <v>$AG$251</v>
      </c>
      <c r="Q251" s="138" t="str">
        <f ca="1">IF(J250&gt;=11,(MID(P251,1,1)&amp;MID(P251,2,3)+1),CELL("address",AH251))</f>
        <v>$AH$251</v>
      </c>
      <c r="R251" s="138" t="str">
        <f ca="1">IF(J250&gt;=12,(MID(Q251,1,1)&amp;MID(Q251,2,3)+1),CELL("address",AI251))</f>
        <v>$AI$251</v>
      </c>
    </row>
    <row r="252" spans="1:8" ht="15" customHeight="1">
      <c r="A252" s="231"/>
      <c r="B252" s="231"/>
      <c r="C252" s="231"/>
      <c r="D252" s="51" t="s">
        <v>91</v>
      </c>
      <c r="E252" s="52">
        <v>1.016</v>
      </c>
      <c r="G252" s="129" t="str">
        <f>CONCATENATE(D252," - ",E252,", ")</f>
        <v>2/core PVC Alumn. Cable scrap - 1.016, </v>
      </c>
      <c r="H252" s="142"/>
    </row>
    <row r="253" spans="1:8" ht="15" customHeight="1">
      <c r="A253" s="231"/>
      <c r="B253" s="231"/>
      <c r="C253" s="231"/>
      <c r="D253" s="51" t="s">
        <v>92</v>
      </c>
      <c r="E253" s="52">
        <v>2.38</v>
      </c>
      <c r="G253" s="129" t="str">
        <f>CONCATENATE(D253," - ",E253,", ")</f>
        <v>4/core PVC Alumn. Cable scrap - 2.38, </v>
      </c>
      <c r="H253" s="142"/>
    </row>
    <row r="254" spans="1:8" ht="15" customHeight="1">
      <c r="A254" s="231"/>
      <c r="B254" s="231"/>
      <c r="C254" s="231"/>
      <c r="D254" s="51" t="s">
        <v>93</v>
      </c>
      <c r="E254" s="51">
        <v>2.007</v>
      </c>
      <c r="G254" s="129" t="str">
        <f>CONCATENATE(D254," - ",E254,", ")</f>
        <v>3/ core XLPE Alu cable scrap - 2.007, </v>
      </c>
      <c r="H254" s="142"/>
    </row>
    <row r="255" spans="1:8" ht="15" customHeight="1">
      <c r="A255" s="45"/>
      <c r="B255" s="47"/>
      <c r="C255" s="48"/>
      <c r="D255" s="39"/>
      <c r="E255" s="55"/>
      <c r="G255" s="129"/>
      <c r="H255" s="142"/>
    </row>
    <row r="256" spans="1:8" ht="15" customHeight="1">
      <c r="A256" s="56"/>
      <c r="B256" s="192"/>
      <c r="C256" s="193"/>
      <c r="D256" s="104"/>
      <c r="E256" s="57">
        <f>SUM(E258:E261)</f>
        <v>1.0010000000000001</v>
      </c>
      <c r="G256" s="129"/>
      <c r="H256" s="142"/>
    </row>
    <row r="257" spans="1:18" ht="15" customHeight="1">
      <c r="A257" s="46" t="s">
        <v>5</v>
      </c>
      <c r="B257" s="232" t="s">
        <v>17</v>
      </c>
      <c r="C257" s="233"/>
      <c r="D257" s="187" t="s">
        <v>18</v>
      </c>
      <c r="E257" s="46" t="s">
        <v>7</v>
      </c>
      <c r="G257" s="131" t="str">
        <f>CONCATENATE("Cable Scrap, Lying at ",B258,". Quantity in MT - ")</f>
        <v>Cable Scrap, Lying at OL Rajpura. Quantity in MT - </v>
      </c>
      <c r="H257" s="261" t="str">
        <f ca="1">CONCATENATE(G257,G258,(INDIRECT(I258)),(INDIRECT(J258)),(INDIRECT(K258)),(INDIRECT(L258)),(INDIRECT(M258)),(INDIRECT(N258)),(INDIRECT(O258)),(INDIRECT(P258)),(INDIRECT(Q258)),(INDIRECT(R258)),".")</f>
        <v>Cable Scrap, Lying at OL Rajpura. Quantity in MT - 2/core PVC Alumn. Cable scrap - 0.06, 4/core PVC Alumn. Cable scrap - 0.267, 3/ core XLPE Alu cable scrap - 0.115, ABC cable scrap (70/95 mm) - 0.559, .</v>
      </c>
      <c r="I257" s="138" t="str">
        <f aca="true" ca="1" t="array" ref="I257">CELL("address",INDEX(G257:G308,MATCH(TRUE,ISBLANK(G257:G308),0)))</f>
        <v>$G$262</v>
      </c>
      <c r="J257" s="138">
        <f aca="true" t="array" ref="J257">MATCH(TRUE,ISBLANK(G257:G308),0)</f>
        <v>6</v>
      </c>
      <c r="K257" s="138">
        <f>J257-3</f>
        <v>3</v>
      </c>
      <c r="L257" s="138"/>
      <c r="M257" s="138"/>
      <c r="N257" s="138"/>
      <c r="O257" s="138"/>
      <c r="P257" s="138"/>
      <c r="Q257" s="138"/>
      <c r="R257" s="138"/>
    </row>
    <row r="258" spans="1:18" ht="15" customHeight="1">
      <c r="A258" s="231" t="s">
        <v>175</v>
      </c>
      <c r="B258" s="231" t="s">
        <v>105</v>
      </c>
      <c r="C258" s="231"/>
      <c r="D258" s="51" t="s">
        <v>91</v>
      </c>
      <c r="E258" s="46">
        <v>0.06</v>
      </c>
      <c r="G258" s="129" t="str">
        <f>CONCATENATE(D258," - ",E258,", ")</f>
        <v>2/core PVC Alumn. Cable scrap - 0.06, </v>
      </c>
      <c r="H258" s="261"/>
      <c r="I258" s="138" t="str">
        <f ca="1">IF(J257&gt;=3,(MID(I257,2,1)&amp;MID(I257,4,3)-K257),CELL("address",Z258))</f>
        <v>G259</v>
      </c>
      <c r="J258" s="138" t="str">
        <f ca="1">IF(J257&gt;=4,(MID(I258,1,1)&amp;MID(I258,2,3)+1),CELL("address",AA258))</f>
        <v>G260</v>
      </c>
      <c r="K258" s="138" t="str">
        <f ca="1">IF(J257&gt;=5,(MID(J258,1,1)&amp;MID(J258,2,3)+1),CELL("address",AB258))</f>
        <v>G261</v>
      </c>
      <c r="L258" s="138" t="str">
        <f ca="1">IF(J257&gt;=6,(MID(K258,1,1)&amp;MID(K258,2,3)+1),CELL("address",AC258))</f>
        <v>G262</v>
      </c>
      <c r="M258" s="138" t="str">
        <f ca="1">IF(J257&gt;=7,(MID(L258,1,1)&amp;MID(L258,2,3)+1),CELL("address",AD258))</f>
        <v>$AD$258</v>
      </c>
      <c r="N258" s="138" t="str">
        <f ca="1">IF(J257&gt;=8,(MID(M258,1,1)&amp;MID(M258,2,3)+1),CELL("address",AE258))</f>
        <v>$AE$258</v>
      </c>
      <c r="O258" s="138" t="str">
        <f ca="1">IF(J257&gt;=9,(MID(N258,1,1)&amp;MID(N258,2,3)+1),CELL("address",AF258))</f>
        <v>$AF$258</v>
      </c>
      <c r="P258" s="138" t="str">
        <f ca="1">IF(J257&gt;=10,(MID(O258,1,1)&amp;MID(O258,2,3)+1),CELL("address",AG258))</f>
        <v>$AG$258</v>
      </c>
      <c r="Q258" s="138" t="str">
        <f ca="1">IF(J257&gt;=11,(MID(P258,1,1)&amp;MID(P258,2,3)+1),CELL("address",AH258))</f>
        <v>$AH$258</v>
      </c>
      <c r="R258" s="138" t="str">
        <f ca="1">IF(J257&gt;=12,(MID(Q258,1,1)&amp;MID(Q258,2,3)+1),CELL("address",AI258))</f>
        <v>$AI$258</v>
      </c>
    </row>
    <row r="259" spans="1:8" ht="15" customHeight="1">
      <c r="A259" s="231"/>
      <c r="B259" s="231"/>
      <c r="C259" s="231"/>
      <c r="D259" s="51" t="s">
        <v>92</v>
      </c>
      <c r="E259" s="52">
        <v>0.267</v>
      </c>
      <c r="G259" s="129" t="str">
        <f>CONCATENATE(D259," - ",E259,", ")</f>
        <v>4/core PVC Alumn. Cable scrap - 0.267, </v>
      </c>
      <c r="H259" s="142"/>
    </row>
    <row r="260" spans="1:8" ht="15" customHeight="1">
      <c r="A260" s="231"/>
      <c r="B260" s="231"/>
      <c r="C260" s="231"/>
      <c r="D260" s="51" t="s">
        <v>93</v>
      </c>
      <c r="E260" s="52">
        <v>0.115</v>
      </c>
      <c r="G260" s="129" t="str">
        <f>CONCATENATE(D260," - ",E260,", ")</f>
        <v>3/ core XLPE Alu cable scrap - 0.115, </v>
      </c>
      <c r="H260" s="142"/>
    </row>
    <row r="261" spans="1:8" ht="15" customHeight="1">
      <c r="A261" s="231"/>
      <c r="B261" s="231"/>
      <c r="C261" s="231"/>
      <c r="D261" s="51" t="s">
        <v>169</v>
      </c>
      <c r="E261" s="53">
        <v>0.559</v>
      </c>
      <c r="G261" s="129" t="str">
        <f>CONCATENATE(D261," - ",E261,", ")</f>
        <v>ABC cable scrap (70/95 mm) - 0.559, </v>
      </c>
      <c r="H261" s="142"/>
    </row>
    <row r="262" spans="1:8" ht="15" customHeight="1">
      <c r="A262" s="45"/>
      <c r="B262" s="47"/>
      <c r="C262" s="48"/>
      <c r="D262" s="51"/>
      <c r="E262" s="53"/>
      <c r="G262" s="129"/>
      <c r="H262" s="142"/>
    </row>
    <row r="263" spans="1:8" ht="15" customHeight="1">
      <c r="A263" s="45"/>
      <c r="B263" s="192"/>
      <c r="C263" s="193"/>
      <c r="D263" s="49"/>
      <c r="E263" s="50">
        <f>SUM(E265:E268)</f>
        <v>3.4879999999999995</v>
      </c>
      <c r="G263" s="129"/>
      <c r="H263" s="142"/>
    </row>
    <row r="264" spans="1:18" ht="15" customHeight="1">
      <c r="A264" s="46" t="s">
        <v>5</v>
      </c>
      <c r="B264" s="232" t="s">
        <v>17</v>
      </c>
      <c r="C264" s="233"/>
      <c r="D264" s="187" t="s">
        <v>18</v>
      </c>
      <c r="E264" s="46" t="s">
        <v>7</v>
      </c>
      <c r="G264" s="131" t="str">
        <f>CONCATENATE("Cable Scrap, Lying at ",B265,". Quantity in MT - ")</f>
        <v>Cable Scrap, Lying at OL Barnala. Quantity in MT - </v>
      </c>
      <c r="H264" s="261" t="str">
        <f ca="1">CONCATENATE(G264,G265,(INDIRECT(I265)),(INDIRECT(J265)),(INDIRECT(K265)),(INDIRECT(L265)),(INDIRECT(M265)),(INDIRECT(N265)),(INDIRECT(O265)),(INDIRECT(P265)),(INDIRECT(Q265)),(INDIRECT(R265)),".")</f>
        <v>Cable Scrap, Lying at OL Barnala. Quantity in MT - 2/core PVC Alumn. Cable scrap - 0.343, 4/core PVC Alumn. Cable scrap - 0.571, 3/ core XLPE Alu cable scrap - 2.556, 1/ core XLPE Alu cable scrap - 0.018, .</v>
      </c>
      <c r="I264" s="138" t="str">
        <f aca="true" ca="1" t="array" ref="I264">CELL("address",INDEX(G264:G315,MATCH(TRUE,ISBLANK(G264:G315),0)))</f>
        <v>$G$269</v>
      </c>
      <c r="J264" s="138">
        <f aca="true" t="array" ref="J264">MATCH(TRUE,ISBLANK(G264:G315),0)</f>
        <v>6</v>
      </c>
      <c r="K264" s="138">
        <f>J264-3</f>
        <v>3</v>
      </c>
      <c r="L264" s="138"/>
      <c r="M264" s="138"/>
      <c r="N264" s="138"/>
      <c r="O264" s="138"/>
      <c r="P264" s="138"/>
      <c r="Q264" s="138"/>
      <c r="R264" s="138"/>
    </row>
    <row r="265" spans="1:18" ht="15" customHeight="1">
      <c r="A265" s="231" t="s">
        <v>245</v>
      </c>
      <c r="B265" s="231" t="s">
        <v>188</v>
      </c>
      <c r="C265" s="231"/>
      <c r="D265" s="51" t="s">
        <v>91</v>
      </c>
      <c r="E265" s="52">
        <v>0.343</v>
      </c>
      <c r="G265" s="129" t="str">
        <f>CONCATENATE(D265," - ",E265,", ")</f>
        <v>2/core PVC Alumn. Cable scrap - 0.343, </v>
      </c>
      <c r="H265" s="261"/>
      <c r="I265" s="138" t="str">
        <f ca="1">IF(J264&gt;=3,(MID(I264,2,1)&amp;MID(I264,4,3)-K264),CELL("address",Z265))</f>
        <v>G266</v>
      </c>
      <c r="J265" s="138" t="str">
        <f ca="1">IF(J264&gt;=4,(MID(I265,1,1)&amp;MID(I265,2,3)+1),CELL("address",AA265))</f>
        <v>G267</v>
      </c>
      <c r="K265" s="138" t="str">
        <f ca="1">IF(J264&gt;=5,(MID(J265,1,1)&amp;MID(J265,2,3)+1),CELL("address",AB265))</f>
        <v>G268</v>
      </c>
      <c r="L265" s="138" t="str">
        <f ca="1">IF(J264&gt;=6,(MID(K265,1,1)&amp;MID(K265,2,3)+1),CELL("address",AC265))</f>
        <v>G269</v>
      </c>
      <c r="M265" s="138" t="str">
        <f ca="1">IF(J264&gt;=7,(MID(L265,1,1)&amp;MID(L265,2,3)+1),CELL("address",AD265))</f>
        <v>$AD$265</v>
      </c>
      <c r="N265" s="138" t="str">
        <f ca="1">IF(J264&gt;=8,(MID(M265,1,1)&amp;MID(M265,2,3)+1),CELL("address",AE265))</f>
        <v>$AE$265</v>
      </c>
      <c r="O265" s="138" t="str">
        <f ca="1">IF(J264&gt;=9,(MID(N265,1,1)&amp;MID(N265,2,3)+1),CELL("address",AF265))</f>
        <v>$AF$265</v>
      </c>
      <c r="P265" s="138" t="str">
        <f ca="1">IF(J264&gt;=10,(MID(O265,1,1)&amp;MID(O265,2,3)+1),CELL("address",AG265))</f>
        <v>$AG$265</v>
      </c>
      <c r="Q265" s="138" t="str">
        <f ca="1">IF(J264&gt;=11,(MID(P265,1,1)&amp;MID(P265,2,3)+1),CELL("address",AH265))</f>
        <v>$AH$265</v>
      </c>
      <c r="R265" s="138" t="str">
        <f ca="1">IF(J264&gt;=12,(MID(Q265,1,1)&amp;MID(Q265,2,3)+1),CELL("address",AI265))</f>
        <v>$AI$265</v>
      </c>
    </row>
    <row r="266" spans="1:8" ht="15" customHeight="1">
      <c r="A266" s="231"/>
      <c r="B266" s="231"/>
      <c r="C266" s="231"/>
      <c r="D266" s="51" t="s">
        <v>92</v>
      </c>
      <c r="E266" s="52">
        <v>0.571</v>
      </c>
      <c r="G266" s="129" t="str">
        <f>CONCATENATE(D266," - ",E266,", ")</f>
        <v>4/core PVC Alumn. Cable scrap - 0.571, </v>
      </c>
      <c r="H266" s="142"/>
    </row>
    <row r="267" spans="1:8" ht="15" customHeight="1">
      <c r="A267" s="231"/>
      <c r="B267" s="231"/>
      <c r="C267" s="231"/>
      <c r="D267" s="51" t="s">
        <v>93</v>
      </c>
      <c r="E267" s="53">
        <v>2.556</v>
      </c>
      <c r="G267" s="129" t="str">
        <f>CONCATENATE(D267," - ",E267,", ")</f>
        <v>3/ core XLPE Alu cable scrap - 2.556, </v>
      </c>
      <c r="H267" s="142"/>
    </row>
    <row r="268" spans="1:8" ht="15" customHeight="1">
      <c r="A268" s="231"/>
      <c r="B268" s="231"/>
      <c r="C268" s="231"/>
      <c r="D268" s="51" t="s">
        <v>98</v>
      </c>
      <c r="E268" s="53">
        <v>0.018</v>
      </c>
      <c r="G268" s="129" t="str">
        <f>CONCATENATE(D268," - ",E268,", ")</f>
        <v>1/ core XLPE Alu cable scrap - 0.018, </v>
      </c>
      <c r="H268" s="142"/>
    </row>
    <row r="269" spans="1:8" ht="15" customHeight="1">
      <c r="A269" s="45"/>
      <c r="B269" s="166"/>
      <c r="C269" s="72"/>
      <c r="D269" s="167"/>
      <c r="E269" s="168"/>
      <c r="G269" s="129"/>
      <c r="H269" s="142"/>
    </row>
    <row r="270" spans="1:8" ht="15" customHeight="1">
      <c r="A270" s="45"/>
      <c r="B270" s="192"/>
      <c r="C270" s="193"/>
      <c r="D270" s="49"/>
      <c r="E270" s="50">
        <f>SUM(E272:E277)</f>
        <v>1.518</v>
      </c>
      <c r="G270" s="129"/>
      <c r="H270" s="142"/>
    </row>
    <row r="271" spans="1:18" ht="15" customHeight="1">
      <c r="A271" s="87" t="s">
        <v>5</v>
      </c>
      <c r="B271" s="244" t="s">
        <v>17</v>
      </c>
      <c r="C271" s="245"/>
      <c r="D271" s="187" t="s">
        <v>18</v>
      </c>
      <c r="E271" s="46" t="s">
        <v>7</v>
      </c>
      <c r="G271" s="131" t="str">
        <f>CONCATENATE("Cable Scrap, Lying at ",B272,". Quantity in MT - ")</f>
        <v>Cable Scrap, Lying at CS Sangrur. Quantity in MT - </v>
      </c>
      <c r="H271" s="261" t="str">
        <f ca="1">CONCATENATE(G271,G272,(INDIRECT(I272)),(INDIRECT(J272)),(INDIRECT(K272)),(INDIRECT(L272)),(INDIRECT(M272)),(INDIRECT(N272)),(INDIRECT(O272)),(INDIRECT(P272)),(INDIRECT(Q272)),(INDIRECT(R272)),".")</f>
        <v>Cable Scrap, Lying at CS Sangrur. Quantity in MT - 2/core PVC Alumn. Cable scrap - 0.172, 4/core PVC Alumn. Cable scrap - 0.36, 3/ core XLPE Alu cable scrap - 0.355, Lead seal scrap with lash wire - 0.021, ABC cable scrap (70/95 mm) - 0.545, 1/core PVC Alumn. Cable scrap - 0.065, .</v>
      </c>
      <c r="I271" s="138" t="str">
        <f aca="true" ca="1" t="array" ref="I271">CELL("address",INDEX(G271:G321,MATCH(TRUE,ISBLANK(G271:G321),0)))</f>
        <v>$G$278</v>
      </c>
      <c r="J271" s="138">
        <f aca="true" t="array" ref="J271">MATCH(TRUE,ISBLANK(G271:G321),0)</f>
        <v>8</v>
      </c>
      <c r="K271" s="138">
        <f>J271-3</f>
        <v>5</v>
      </c>
      <c r="L271" s="138"/>
      <c r="M271" s="138"/>
      <c r="N271" s="138"/>
      <c r="O271" s="138"/>
      <c r="P271" s="138"/>
      <c r="Q271" s="138"/>
      <c r="R271" s="138"/>
    </row>
    <row r="272" spans="1:18" ht="15" customHeight="1">
      <c r="A272" s="231" t="s">
        <v>209</v>
      </c>
      <c r="B272" s="231" t="s">
        <v>80</v>
      </c>
      <c r="C272" s="231"/>
      <c r="D272" s="105" t="s">
        <v>91</v>
      </c>
      <c r="E272" s="52">
        <v>0.172</v>
      </c>
      <c r="G272" s="129" t="str">
        <f aca="true" t="shared" si="2" ref="G272:G277">CONCATENATE(D272," - ",E272,", ")</f>
        <v>2/core PVC Alumn. Cable scrap - 0.172, </v>
      </c>
      <c r="H272" s="261"/>
      <c r="I272" s="138" t="str">
        <f ca="1">IF(J271&gt;=3,(MID(I271,2,1)&amp;MID(I271,4,3)-K271),CELL("address",Z272))</f>
        <v>G273</v>
      </c>
      <c r="J272" s="138" t="str">
        <f ca="1">IF(J271&gt;=4,(MID(I272,1,1)&amp;MID(I272,2,3)+1),CELL("address",AA272))</f>
        <v>G274</v>
      </c>
      <c r="K272" s="138" t="str">
        <f ca="1">IF(J271&gt;=5,(MID(J272,1,1)&amp;MID(J272,2,3)+1),CELL("address",AB272))</f>
        <v>G275</v>
      </c>
      <c r="L272" s="138" t="str">
        <f ca="1">IF(J271&gt;=6,(MID(K272,1,1)&amp;MID(K272,2,3)+1),CELL("address",AC272))</f>
        <v>G276</v>
      </c>
      <c r="M272" s="138" t="str">
        <f ca="1">IF(J271&gt;=7,(MID(L272,1,1)&amp;MID(L272,2,3)+1),CELL("address",AD272))</f>
        <v>G277</v>
      </c>
      <c r="N272" s="138" t="str">
        <f ca="1">IF(J271&gt;=8,(MID(M272,1,1)&amp;MID(M272,2,3)+1),CELL("address",AE272))</f>
        <v>G278</v>
      </c>
      <c r="O272" s="138" t="str">
        <f ca="1">IF(J271&gt;=9,(MID(N272,1,1)&amp;MID(N272,2,3)+1),CELL("address",AF272))</f>
        <v>$AF$272</v>
      </c>
      <c r="P272" s="138" t="str">
        <f ca="1">IF(J271&gt;=10,(MID(O272,1,1)&amp;MID(O272,2,3)+1),CELL("address",AG272))</f>
        <v>$AG$272</v>
      </c>
      <c r="Q272" s="138" t="str">
        <f ca="1">IF(J271&gt;=11,(MID(P272,1,1)&amp;MID(P272,2,3)+1),CELL("address",AH272))</f>
        <v>$AH$272</v>
      </c>
      <c r="R272" s="138" t="str">
        <f ca="1">IF(J271&gt;=12,(MID(Q272,1,1)&amp;MID(Q272,2,3)+1),CELL("address",AI272))</f>
        <v>$AI$272</v>
      </c>
    </row>
    <row r="273" spans="1:8" ht="15" customHeight="1">
      <c r="A273" s="231"/>
      <c r="B273" s="231"/>
      <c r="C273" s="231"/>
      <c r="D273" s="105" t="s">
        <v>92</v>
      </c>
      <c r="E273" s="52">
        <v>0.36</v>
      </c>
      <c r="G273" s="129" t="str">
        <f t="shared" si="2"/>
        <v>4/core PVC Alumn. Cable scrap - 0.36, </v>
      </c>
      <c r="H273" s="142"/>
    </row>
    <row r="274" spans="1:8" ht="15" customHeight="1">
      <c r="A274" s="231"/>
      <c r="B274" s="231"/>
      <c r="C274" s="231"/>
      <c r="D274" s="105" t="s">
        <v>93</v>
      </c>
      <c r="E274" s="52">
        <v>0.355</v>
      </c>
      <c r="G274" s="129" t="str">
        <f t="shared" si="2"/>
        <v>3/ core XLPE Alu cable scrap - 0.355, </v>
      </c>
      <c r="H274" s="142"/>
    </row>
    <row r="275" spans="1:8" ht="15" customHeight="1">
      <c r="A275" s="231"/>
      <c r="B275" s="231"/>
      <c r="C275" s="231"/>
      <c r="D275" s="105" t="s">
        <v>186</v>
      </c>
      <c r="E275" s="51">
        <v>0.021</v>
      </c>
      <c r="G275" s="129" t="str">
        <f t="shared" si="2"/>
        <v>Lead seal scrap with lash wire - 0.021, </v>
      </c>
      <c r="H275" s="142"/>
    </row>
    <row r="276" spans="1:8" ht="15" customHeight="1">
      <c r="A276" s="231"/>
      <c r="B276" s="231"/>
      <c r="C276" s="231"/>
      <c r="D276" s="198" t="s">
        <v>169</v>
      </c>
      <c r="E276" s="53">
        <v>0.545</v>
      </c>
      <c r="G276" s="129" t="str">
        <f t="shared" si="2"/>
        <v>ABC cable scrap (70/95 mm) - 0.545, </v>
      </c>
      <c r="H276" s="144"/>
    </row>
    <row r="277" spans="1:8" ht="15" customHeight="1">
      <c r="A277" s="231"/>
      <c r="B277" s="231"/>
      <c r="C277" s="231"/>
      <c r="D277" s="105" t="s">
        <v>172</v>
      </c>
      <c r="E277" s="53">
        <v>0.065</v>
      </c>
      <c r="G277" s="129" t="str">
        <f t="shared" si="2"/>
        <v>1/core PVC Alumn. Cable scrap - 0.065, </v>
      </c>
      <c r="H277" s="144"/>
    </row>
    <row r="278" spans="1:8" ht="15" customHeight="1">
      <c r="A278" s="56"/>
      <c r="B278" s="166"/>
      <c r="C278" s="72"/>
      <c r="D278" s="88"/>
      <c r="E278" s="53"/>
      <c r="G278" s="129"/>
      <c r="H278" s="144"/>
    </row>
    <row r="279" spans="1:8" ht="15" customHeight="1">
      <c r="A279" s="45"/>
      <c r="B279" s="192"/>
      <c r="C279" s="193"/>
      <c r="D279" s="49" t="s">
        <v>255</v>
      </c>
      <c r="E279" s="50">
        <f>SUM(E281:E284)</f>
        <v>0.6769999999999999</v>
      </c>
      <c r="G279" s="129"/>
      <c r="H279" s="144"/>
    </row>
    <row r="280" spans="1:18" ht="15" customHeight="1">
      <c r="A280" s="46" t="s">
        <v>5</v>
      </c>
      <c r="B280" s="232" t="s">
        <v>17</v>
      </c>
      <c r="C280" s="233"/>
      <c r="D280" s="187" t="s">
        <v>18</v>
      </c>
      <c r="E280" s="46" t="s">
        <v>7</v>
      </c>
      <c r="G280" s="131" t="str">
        <f>CONCATENATE("Cable Scrap, Lying at ",B281,". Quantity in MT - ")</f>
        <v>Cable Scrap, Lying at CS Mohali. Quantity in MT - </v>
      </c>
      <c r="H280" s="261" t="str">
        <f ca="1">CONCATENATE(G280,G281,(INDIRECT(I281)),(INDIRECT(J281)),(INDIRECT(K281)),(INDIRECT(L281)),(INDIRECT(M281)),(INDIRECT(N281)),(INDIRECT(O281)),(INDIRECT(P281)),(INDIRECT(Q281)),(INDIRECT(R281)),".")</f>
        <v>Cable Scrap, Lying at CS Mohali. Quantity in MT - 4/core PVC Alumn. Cable scrap - 0.445, 3/ core XLPE Alu cable scrap - 0.15, 1/core PVC Alumn. Cable scrap - 0.069, 2/core PVC Alumn. Cable scrap - 0.013, .</v>
      </c>
      <c r="I280" s="138" t="str">
        <f aca="true" ca="1" t="array" ref="I280">CELL("address",INDEX(G280:G325,MATCH(TRUE,ISBLANK(G280:G325),0)))</f>
        <v>$G$285</v>
      </c>
      <c r="J280" s="138">
        <f aca="true" t="array" ref="J280">MATCH(TRUE,ISBLANK(G280:G325),0)</f>
        <v>6</v>
      </c>
      <c r="K280" s="138">
        <f>J280-3</f>
        <v>3</v>
      </c>
      <c r="L280" s="138"/>
      <c r="M280" s="138"/>
      <c r="N280" s="138"/>
      <c r="O280" s="138"/>
      <c r="P280" s="138"/>
      <c r="Q280" s="138"/>
      <c r="R280" s="138"/>
    </row>
    <row r="281" spans="1:18" ht="15" customHeight="1">
      <c r="A281" s="231" t="s">
        <v>253</v>
      </c>
      <c r="B281" s="231" t="s">
        <v>63</v>
      </c>
      <c r="C281" s="231"/>
      <c r="D281" s="51" t="s">
        <v>92</v>
      </c>
      <c r="E281" s="46">
        <v>0.445</v>
      </c>
      <c r="G281" s="129" t="str">
        <f>CONCATENATE(D281," - ",E281,", ")</f>
        <v>4/core PVC Alumn. Cable scrap - 0.445, </v>
      </c>
      <c r="H281" s="261"/>
      <c r="I281" s="138" t="str">
        <f ca="1">IF(J280&gt;=3,(MID(I280,2,1)&amp;MID(I280,4,3)-K280),CELL("address",Z281))</f>
        <v>G282</v>
      </c>
      <c r="J281" s="138" t="str">
        <f ca="1">IF(J280&gt;=4,(MID(I281,1,1)&amp;MID(I281,2,3)+1),CELL("address",AA281))</f>
        <v>G283</v>
      </c>
      <c r="K281" s="138" t="str">
        <f ca="1">IF(J280&gt;=5,(MID(J281,1,1)&amp;MID(J281,2,3)+1),CELL("address",AB281))</f>
        <v>G284</v>
      </c>
      <c r="L281" s="138" t="str">
        <f ca="1">IF(J280&gt;=6,(MID(K281,1,1)&amp;MID(K281,2,3)+1),CELL("address",AC281))</f>
        <v>G285</v>
      </c>
      <c r="M281" s="138" t="str">
        <f ca="1">IF(J280&gt;=7,(MID(L281,1,1)&amp;MID(L281,2,3)+1),CELL("address",AD281))</f>
        <v>$AD$281</v>
      </c>
      <c r="N281" s="138" t="str">
        <f ca="1">IF(J280&gt;=8,(MID(M281,1,1)&amp;MID(M281,2,3)+1),CELL("address",AE281))</f>
        <v>$AE$281</v>
      </c>
      <c r="O281" s="138" t="str">
        <f ca="1">IF(J280&gt;=9,(MID(N281,1,1)&amp;MID(N281,2,3)+1),CELL("address",AF281))</f>
        <v>$AF$281</v>
      </c>
      <c r="P281" s="138" t="str">
        <f ca="1">IF(J280&gt;=10,(MID(O281,1,1)&amp;MID(O281,2,3)+1),CELL("address",AG281))</f>
        <v>$AG$281</v>
      </c>
      <c r="Q281" s="138" t="str">
        <f ca="1">IF(J280&gt;=11,(MID(P281,1,1)&amp;MID(P281,2,3)+1),CELL("address",AH281))</f>
        <v>$AH$281</v>
      </c>
      <c r="R281" s="138" t="str">
        <f ca="1">IF(J280&gt;=12,(MID(Q281,1,1)&amp;MID(Q281,2,3)+1),CELL("address",AI281))</f>
        <v>$AI$281</v>
      </c>
    </row>
    <row r="282" spans="1:8" ht="15" customHeight="1">
      <c r="A282" s="231"/>
      <c r="B282" s="231"/>
      <c r="C282" s="231"/>
      <c r="D282" s="51" t="s">
        <v>93</v>
      </c>
      <c r="E282" s="52">
        <v>0.15</v>
      </c>
      <c r="G282" s="129" t="str">
        <f>CONCATENATE(D282," - ",E282,", ")</f>
        <v>3/ core XLPE Alu cable scrap - 0.15, </v>
      </c>
      <c r="H282" s="144"/>
    </row>
    <row r="283" spans="1:8" ht="15" customHeight="1">
      <c r="A283" s="231"/>
      <c r="B283" s="231"/>
      <c r="C283" s="231"/>
      <c r="D283" s="51" t="s">
        <v>172</v>
      </c>
      <c r="E283" s="52">
        <v>0.069</v>
      </c>
      <c r="G283" s="129" t="str">
        <f>CONCATENATE(D283," - ",E283,", ")</f>
        <v>1/core PVC Alumn. Cable scrap - 0.069, </v>
      </c>
      <c r="H283" s="144"/>
    </row>
    <row r="284" spans="1:8" ht="15" customHeight="1">
      <c r="A284" s="231"/>
      <c r="B284" s="231"/>
      <c r="C284" s="231"/>
      <c r="D284" s="51" t="s">
        <v>91</v>
      </c>
      <c r="E284" s="52">
        <v>0.013</v>
      </c>
      <c r="G284" s="129" t="str">
        <f>CONCATENATE(D284," - ",E284,", ")</f>
        <v>2/core PVC Alumn. Cable scrap - 0.013, </v>
      </c>
      <c r="H284" s="144"/>
    </row>
    <row r="285" spans="1:8" ht="15" customHeight="1">
      <c r="A285" s="58"/>
      <c r="B285" s="61"/>
      <c r="C285" s="137"/>
      <c r="D285" s="39"/>
      <c r="E285" s="191"/>
      <c r="G285" s="129"/>
      <c r="H285" s="144"/>
    </row>
    <row r="286" spans="1:8" ht="15" customHeight="1">
      <c r="A286" s="46"/>
      <c r="B286" s="254"/>
      <c r="C286" s="255"/>
      <c r="D286" s="185"/>
      <c r="E286" s="59">
        <f>SUM(E288:E290)</f>
        <v>1.323</v>
      </c>
      <c r="G286" s="129"/>
      <c r="H286" s="144"/>
    </row>
    <row r="287" spans="1:18" ht="15" customHeight="1">
      <c r="A287" s="46" t="s">
        <v>5</v>
      </c>
      <c r="B287" s="231" t="s">
        <v>17</v>
      </c>
      <c r="C287" s="231"/>
      <c r="D287" s="184" t="s">
        <v>18</v>
      </c>
      <c r="E287" s="46" t="s">
        <v>7</v>
      </c>
      <c r="G287" s="131" t="str">
        <f>CONCATENATE("Cable Scrap, Lying at ",B288,". Quantity in MT - ")</f>
        <v>Cable Scrap, Lying at OL Fazilka. Quantity in MT - </v>
      </c>
      <c r="H287" s="261" t="str">
        <f ca="1">CONCATENATE(G287,G288,(INDIRECT(I288)),(INDIRECT(J288)),(INDIRECT(K288)),(INDIRECT(L288)),(INDIRECT(M288)),(INDIRECT(N288)),(INDIRECT(O288)),(INDIRECT(P288)),(INDIRECT(Q288)),(INDIRECT(R288)),".")</f>
        <v>Cable Scrap, Lying at OL Fazilka. Quantity in MT - 2/core PVC Alumn. Cable scrap - 0.038, 4/core PVC Alumn. Cable scrap - 0.341, 3/ core XLPE Alu cable scrap - 0.944, .</v>
      </c>
      <c r="I287" s="138" t="str">
        <f aca="true" ca="1" t="array" ref="I287">CELL("address",INDEX(G287:G330,MATCH(TRUE,ISBLANK(G287:G330),0)))</f>
        <v>$G$291</v>
      </c>
      <c r="J287" s="138">
        <f aca="true" t="array" ref="J287">MATCH(TRUE,ISBLANK(G287:G330),0)</f>
        <v>5</v>
      </c>
      <c r="K287" s="138">
        <f>J287-3</f>
        <v>2</v>
      </c>
      <c r="L287" s="138"/>
      <c r="M287" s="138"/>
      <c r="N287" s="138"/>
      <c r="O287" s="138"/>
      <c r="P287" s="138"/>
      <c r="Q287" s="138"/>
      <c r="R287" s="138"/>
    </row>
    <row r="288" spans="1:18" ht="15" customHeight="1">
      <c r="A288" s="231" t="s">
        <v>254</v>
      </c>
      <c r="B288" s="231" t="s">
        <v>114</v>
      </c>
      <c r="C288" s="231"/>
      <c r="D288" s="51" t="s">
        <v>91</v>
      </c>
      <c r="E288" s="52">
        <v>0.038</v>
      </c>
      <c r="G288" s="129" t="str">
        <f>CONCATENATE(D288," - ",E288,", ")</f>
        <v>2/core PVC Alumn. Cable scrap - 0.038, </v>
      </c>
      <c r="H288" s="261"/>
      <c r="I288" s="138" t="str">
        <f ca="1">IF(J287&gt;=3,(MID(I287,2,1)&amp;MID(I287,4,3)-K287),CELL("address",Z288))</f>
        <v>G289</v>
      </c>
      <c r="J288" s="138" t="str">
        <f ca="1">IF(J287&gt;=4,(MID(I288,1,1)&amp;MID(I288,2,3)+1),CELL("address",AA288))</f>
        <v>G290</v>
      </c>
      <c r="K288" s="138" t="str">
        <f ca="1">IF(J287&gt;=5,(MID(J288,1,1)&amp;MID(J288,2,3)+1),CELL("address",AB288))</f>
        <v>G291</v>
      </c>
      <c r="L288" s="138" t="str">
        <f ca="1">IF(J287&gt;=6,(MID(K288,1,1)&amp;MID(K288,2,3)+1),CELL("address",AC288))</f>
        <v>$AC$288</v>
      </c>
      <c r="M288" s="138" t="str">
        <f ca="1">IF(J287&gt;=7,(MID(L288,1,1)&amp;MID(L288,2,3)+1),CELL("address",AD288))</f>
        <v>$AD$288</v>
      </c>
      <c r="N288" s="138" t="str">
        <f ca="1">IF(J287&gt;=8,(MID(M288,1,1)&amp;MID(M288,2,3)+1),CELL("address",AE288))</f>
        <v>$AE$288</v>
      </c>
      <c r="O288" s="138" t="str">
        <f ca="1">IF(J287&gt;=9,(MID(N288,1,1)&amp;MID(N288,2,3)+1),CELL("address",AF288))</f>
        <v>$AF$288</v>
      </c>
      <c r="P288" s="138" t="str">
        <f ca="1">IF(J287&gt;=10,(MID(O288,1,1)&amp;MID(O288,2,3)+1),CELL("address",AG288))</f>
        <v>$AG$288</v>
      </c>
      <c r="Q288" s="138" t="str">
        <f ca="1">IF(J287&gt;=11,(MID(P288,1,1)&amp;MID(P288,2,3)+1),CELL("address",AH288))</f>
        <v>$AH$288</v>
      </c>
      <c r="R288" s="138" t="str">
        <f ca="1">IF(J287&gt;=12,(MID(Q288,1,1)&amp;MID(Q288,2,3)+1),CELL("address",AI288))</f>
        <v>$AI$288</v>
      </c>
    </row>
    <row r="289" spans="1:8" ht="15" customHeight="1">
      <c r="A289" s="231"/>
      <c r="B289" s="231"/>
      <c r="C289" s="231"/>
      <c r="D289" s="51" t="s">
        <v>92</v>
      </c>
      <c r="E289" s="52">
        <v>0.341</v>
      </c>
      <c r="G289" s="129" t="str">
        <f>CONCATENATE(D289," - ",E289,", ")</f>
        <v>4/core PVC Alumn. Cable scrap - 0.341, </v>
      </c>
      <c r="H289" s="144"/>
    </row>
    <row r="290" spans="1:8" ht="15" customHeight="1">
      <c r="A290" s="231"/>
      <c r="B290" s="231"/>
      <c r="C290" s="231"/>
      <c r="D290" s="105" t="s">
        <v>93</v>
      </c>
      <c r="E290" s="52">
        <v>0.944</v>
      </c>
      <c r="G290" s="129" t="str">
        <f>CONCATENATE(D290," - ",E290,", ")</f>
        <v>3/ core XLPE Alu cable scrap - 0.944, </v>
      </c>
      <c r="H290" s="144"/>
    </row>
    <row r="291" spans="1:8" ht="15" customHeight="1">
      <c r="A291" s="45"/>
      <c r="B291" s="47"/>
      <c r="C291" s="48"/>
      <c r="D291" s="51"/>
      <c r="E291" s="52"/>
      <c r="G291" s="129"/>
      <c r="H291" s="144"/>
    </row>
    <row r="292" spans="1:8" ht="15" customHeight="1">
      <c r="A292" s="56"/>
      <c r="B292" s="192"/>
      <c r="C292" s="193"/>
      <c r="D292" s="104"/>
      <c r="E292" s="57">
        <f>SUM(E294:E297)</f>
        <v>2.011</v>
      </c>
      <c r="G292" s="129"/>
      <c r="H292" s="144"/>
    </row>
    <row r="293" spans="1:18" ht="15" customHeight="1">
      <c r="A293" s="46" t="s">
        <v>5</v>
      </c>
      <c r="B293" s="232" t="s">
        <v>17</v>
      </c>
      <c r="C293" s="233"/>
      <c r="D293" s="187" t="s">
        <v>18</v>
      </c>
      <c r="E293" s="46" t="s">
        <v>7</v>
      </c>
      <c r="G293" s="131" t="str">
        <f>CONCATENATE("Cable Scrap, Lying at ",B294,". Quantity in MT - ")</f>
        <v>Cable Scrap, Lying at OL Malerkotla. Quantity in MT - </v>
      </c>
      <c r="H293" s="261" t="str">
        <f ca="1">CONCATENATE(G293,G294,(INDIRECT(I294)),(INDIRECT(J294)),(INDIRECT(K294)),(INDIRECT(L294)),(INDIRECT(M294)),(INDIRECT(N294)),(INDIRECT(O294)),(INDIRECT(P294)),(INDIRECT(Q294)),(INDIRECT(R294)),".")</f>
        <v>Cable Scrap, Lying at OL Malerkotla. Quantity in MT - 2/core PVC Alumn. Cable scrap - 0.284, 4/core PVC Alumn. Cable scrap - 0.535, 3/ core XLPE Alu cable scrap - 0.72, ABC cable scrap (70/95 mm) - 0.472, .</v>
      </c>
      <c r="I293" s="138" t="str">
        <f aca="true" ca="1" t="array" ref="I293">CELL("address",INDEX(G293:G335,MATCH(TRUE,ISBLANK(G293:G335),0)))</f>
        <v>$G$298</v>
      </c>
      <c r="J293" s="138">
        <f aca="true" t="array" ref="J293">MATCH(TRUE,ISBLANK(G293:G335),0)</f>
        <v>6</v>
      </c>
      <c r="K293" s="138">
        <f>J293-3</f>
        <v>3</v>
      </c>
      <c r="L293" s="138"/>
      <c r="M293" s="138"/>
      <c r="N293" s="138"/>
      <c r="O293" s="138"/>
      <c r="P293" s="138"/>
      <c r="Q293" s="138"/>
      <c r="R293" s="138"/>
    </row>
    <row r="294" spans="1:18" ht="15" customHeight="1">
      <c r="A294" s="231" t="s">
        <v>272</v>
      </c>
      <c r="B294" s="231" t="s">
        <v>128</v>
      </c>
      <c r="C294" s="231"/>
      <c r="D294" s="51" t="s">
        <v>91</v>
      </c>
      <c r="E294" s="46">
        <v>0.284</v>
      </c>
      <c r="G294" s="129" t="str">
        <f>CONCATENATE(D294," - ",E294,", ")</f>
        <v>2/core PVC Alumn. Cable scrap - 0.284, </v>
      </c>
      <c r="H294" s="261"/>
      <c r="I294" s="138" t="str">
        <f ca="1">IF(J293&gt;=3,(MID(I293,2,1)&amp;MID(I293,4,3)-K293),CELL("address",Z294))</f>
        <v>G295</v>
      </c>
      <c r="J294" s="138" t="str">
        <f ca="1">IF(J293&gt;=4,(MID(I294,1,1)&amp;MID(I294,2,3)+1),CELL("address",AA294))</f>
        <v>G296</v>
      </c>
      <c r="K294" s="138" t="str">
        <f ca="1">IF(J293&gt;=5,(MID(J294,1,1)&amp;MID(J294,2,3)+1),CELL("address",AB294))</f>
        <v>G297</v>
      </c>
      <c r="L294" s="138" t="str">
        <f ca="1">IF(J293&gt;=6,(MID(K294,1,1)&amp;MID(K294,2,3)+1),CELL("address",AC294))</f>
        <v>G298</v>
      </c>
      <c r="M294" s="138" t="str">
        <f ca="1">IF(J293&gt;=7,(MID(L294,1,1)&amp;MID(L294,2,3)+1),CELL("address",AD294))</f>
        <v>$AD$294</v>
      </c>
      <c r="N294" s="138" t="str">
        <f ca="1">IF(J293&gt;=8,(MID(M294,1,1)&amp;MID(M294,2,3)+1),CELL("address",AE294))</f>
        <v>$AE$294</v>
      </c>
      <c r="O294" s="138" t="str">
        <f ca="1">IF(J293&gt;=9,(MID(N294,1,1)&amp;MID(N294,2,3)+1),CELL("address",AF294))</f>
        <v>$AF$294</v>
      </c>
      <c r="P294" s="138" t="str">
        <f ca="1">IF(J293&gt;=10,(MID(O294,1,1)&amp;MID(O294,2,3)+1),CELL("address",AG294))</f>
        <v>$AG$294</v>
      </c>
      <c r="Q294" s="138" t="str">
        <f ca="1">IF(J293&gt;=11,(MID(P294,1,1)&amp;MID(P294,2,3)+1),CELL("address",AH294))</f>
        <v>$AH$294</v>
      </c>
      <c r="R294" s="138" t="str">
        <f ca="1">IF(J293&gt;=12,(MID(Q294,1,1)&amp;MID(Q294,2,3)+1),CELL("address",AI294))</f>
        <v>$AI$294</v>
      </c>
    </row>
    <row r="295" spans="1:8" ht="15" customHeight="1">
      <c r="A295" s="231"/>
      <c r="B295" s="231"/>
      <c r="C295" s="231"/>
      <c r="D295" s="51" t="s">
        <v>92</v>
      </c>
      <c r="E295" s="52">
        <v>0.535</v>
      </c>
      <c r="G295" s="129" t="str">
        <f>CONCATENATE(D295," - ",E295,", ")</f>
        <v>4/core PVC Alumn. Cable scrap - 0.535, </v>
      </c>
      <c r="H295" s="144"/>
    </row>
    <row r="296" spans="1:8" ht="15" customHeight="1">
      <c r="A296" s="231"/>
      <c r="B296" s="231"/>
      <c r="C296" s="231"/>
      <c r="D296" s="51" t="s">
        <v>93</v>
      </c>
      <c r="E296" s="52">
        <v>0.72</v>
      </c>
      <c r="G296" s="129" t="str">
        <f>CONCATENATE(D296," - ",E296,", ")</f>
        <v>3/ core XLPE Alu cable scrap - 0.72, </v>
      </c>
      <c r="H296" s="144"/>
    </row>
    <row r="297" spans="1:8" ht="15" customHeight="1">
      <c r="A297" s="231"/>
      <c r="B297" s="231"/>
      <c r="C297" s="231"/>
      <c r="D297" s="88" t="s">
        <v>169</v>
      </c>
      <c r="E297" s="89">
        <v>0.472</v>
      </c>
      <c r="G297" s="129" t="str">
        <f>CONCATENATE(D297," - ",E297,", ")</f>
        <v>ABC cable scrap (70/95 mm) - 0.472, </v>
      </c>
      <c r="H297" s="144"/>
    </row>
    <row r="298" spans="1:8" ht="15" customHeight="1">
      <c r="A298" s="45"/>
      <c r="B298" s="47"/>
      <c r="C298" s="48"/>
      <c r="D298" s="95"/>
      <c r="E298" s="96"/>
      <c r="G298" s="129"/>
      <c r="H298" s="144"/>
    </row>
    <row r="299" spans="1:8" ht="15" customHeight="1">
      <c r="A299" s="56"/>
      <c r="B299" s="192"/>
      <c r="C299" s="193"/>
      <c r="D299" s="104"/>
      <c r="E299" s="57">
        <f>SUM(E301:E304)</f>
        <v>4.504</v>
      </c>
      <c r="G299" s="129"/>
      <c r="H299" s="144"/>
    </row>
    <row r="300" spans="1:18" ht="15" customHeight="1">
      <c r="A300" s="46" t="s">
        <v>5</v>
      </c>
      <c r="B300" s="232" t="s">
        <v>17</v>
      </c>
      <c r="C300" s="233"/>
      <c r="D300" s="187" t="s">
        <v>18</v>
      </c>
      <c r="E300" s="46" t="s">
        <v>7</v>
      </c>
      <c r="G300" s="131" t="str">
        <f>CONCATENATE("Cable Scrap, Lying at ",B301,". Quantity in MT - ")</f>
        <v>Cable Scrap, Lying at OL Moga. Quantity in MT - </v>
      </c>
      <c r="H300" s="261" t="str">
        <f ca="1">CONCATENATE(G300,G301,(INDIRECT(I301)),(INDIRECT(J301)),(INDIRECT(K301)),(INDIRECT(L301)),(INDIRECT(M301)),(INDIRECT(N301)),(INDIRECT(O301)),(INDIRECT(P301)),(INDIRECT(Q301)),(INDIRECT(R301)),".")</f>
        <v>Cable Scrap, Lying at OL Moga. Quantity in MT - 2/core PVC Alumn. Cable scrap - 1.131, 4/core PVC Alumn. Cable scrap - 1.778, 1/ core XLPE Alu cable scrap - 0.215, 3/ core XLPE Alu cable scrap - 1.38, .</v>
      </c>
      <c r="I300" s="138" t="str">
        <f aca="true" ca="1" t="array" ref="I300">CELL("address",INDEX(G300:G343,MATCH(TRUE,ISBLANK(G300:G343),0)))</f>
        <v>$G$305</v>
      </c>
      <c r="J300" s="138">
        <f aca="true" t="array" ref="J300">MATCH(TRUE,ISBLANK(G300:G343),0)</f>
        <v>6</v>
      </c>
      <c r="K300" s="138">
        <f>J300-3</f>
        <v>3</v>
      </c>
      <c r="L300" s="138"/>
      <c r="M300" s="138"/>
      <c r="N300" s="138"/>
      <c r="O300" s="138"/>
      <c r="P300" s="138"/>
      <c r="Q300" s="138"/>
      <c r="R300" s="138"/>
    </row>
    <row r="301" spans="1:18" ht="15" customHeight="1">
      <c r="A301" s="231" t="s">
        <v>275</v>
      </c>
      <c r="B301" s="231" t="s">
        <v>276</v>
      </c>
      <c r="C301" s="231"/>
      <c r="D301" s="51" t="s">
        <v>91</v>
      </c>
      <c r="E301" s="46">
        <v>1.131</v>
      </c>
      <c r="G301" s="129" t="str">
        <f>CONCATENATE(D301," - ",E301,", ")</f>
        <v>2/core PVC Alumn. Cable scrap - 1.131, </v>
      </c>
      <c r="H301" s="261"/>
      <c r="I301" s="138" t="str">
        <f ca="1">IF(J300&gt;=3,(MID(I300,2,1)&amp;MID(I300,4,3)-K300),CELL("address",Z301))</f>
        <v>G302</v>
      </c>
      <c r="J301" s="138" t="str">
        <f ca="1">IF(J300&gt;=4,(MID(I301,1,1)&amp;MID(I301,2,3)+1),CELL("address",AA301))</f>
        <v>G303</v>
      </c>
      <c r="K301" s="138" t="str">
        <f ca="1">IF(J300&gt;=5,(MID(J301,1,1)&amp;MID(J301,2,3)+1),CELL("address",AB301))</f>
        <v>G304</v>
      </c>
      <c r="L301" s="138" t="str">
        <f ca="1">IF(J300&gt;=6,(MID(K301,1,1)&amp;MID(K301,2,3)+1),CELL("address",AC301))</f>
        <v>G305</v>
      </c>
      <c r="M301" s="138" t="str">
        <f ca="1">IF(J300&gt;=7,(MID(L301,1,1)&amp;MID(L301,2,3)+1),CELL("address",AD301))</f>
        <v>$AD$301</v>
      </c>
      <c r="N301" s="138" t="str">
        <f ca="1">IF(J300&gt;=8,(MID(M301,1,1)&amp;MID(M301,2,3)+1),CELL("address",AE301))</f>
        <v>$AE$301</v>
      </c>
      <c r="O301" s="138" t="str">
        <f ca="1">IF(J300&gt;=9,(MID(N301,1,1)&amp;MID(N301,2,3)+1),CELL("address",AF301))</f>
        <v>$AF$301</v>
      </c>
      <c r="P301" s="138" t="str">
        <f ca="1">IF(J300&gt;=10,(MID(O301,1,1)&amp;MID(O301,2,3)+1),CELL("address",AG301))</f>
        <v>$AG$301</v>
      </c>
      <c r="Q301" s="138" t="str">
        <f ca="1">IF(J300&gt;=11,(MID(P301,1,1)&amp;MID(P301,2,3)+1),CELL("address",AH301))</f>
        <v>$AH$301</v>
      </c>
      <c r="R301" s="138" t="str">
        <f ca="1">IF(J300&gt;=12,(MID(Q301,1,1)&amp;MID(Q301,2,3)+1),CELL("address",AI301))</f>
        <v>$AI$301</v>
      </c>
    </row>
    <row r="302" spans="1:8" ht="15" customHeight="1">
      <c r="A302" s="231"/>
      <c r="B302" s="231"/>
      <c r="C302" s="231"/>
      <c r="D302" s="51" t="s">
        <v>92</v>
      </c>
      <c r="E302" s="52">
        <v>1.778</v>
      </c>
      <c r="G302" s="129" t="str">
        <f>CONCATENATE(D302," - ",E302,", ")</f>
        <v>4/core PVC Alumn. Cable scrap - 1.778, </v>
      </c>
      <c r="H302" s="144"/>
    </row>
    <row r="303" spans="1:8" ht="15" customHeight="1">
      <c r="A303" s="231"/>
      <c r="B303" s="231"/>
      <c r="C303" s="231"/>
      <c r="D303" s="51" t="s">
        <v>98</v>
      </c>
      <c r="E303" s="52">
        <v>0.215</v>
      </c>
      <c r="G303" s="129" t="str">
        <f>CONCATENATE(D303," - ",E303,", ")</f>
        <v>1/ core XLPE Alu cable scrap - 0.215, </v>
      </c>
      <c r="H303" s="144"/>
    </row>
    <row r="304" spans="1:8" ht="15" customHeight="1">
      <c r="A304" s="231"/>
      <c r="B304" s="231"/>
      <c r="C304" s="231"/>
      <c r="D304" s="51" t="s">
        <v>93</v>
      </c>
      <c r="E304" s="89">
        <v>1.38</v>
      </c>
      <c r="G304" s="129" t="str">
        <f>CONCATENATE(D304," - ",E304,", ")</f>
        <v>3/ core XLPE Alu cable scrap - 1.38, </v>
      </c>
      <c r="H304" s="142"/>
    </row>
    <row r="305" spans="1:8" ht="15" customHeight="1">
      <c r="A305" s="45"/>
      <c r="B305" s="47"/>
      <c r="C305" s="48"/>
      <c r="D305" s="39"/>
      <c r="E305" s="96"/>
      <c r="G305" s="129"/>
      <c r="H305" s="142"/>
    </row>
    <row r="306" spans="1:8" ht="15" customHeight="1">
      <c r="A306" s="13" t="s">
        <v>13</v>
      </c>
      <c r="B306" s="14"/>
      <c r="C306" s="10"/>
      <c r="D306" s="39"/>
      <c r="E306" s="40"/>
      <c r="G306" s="129"/>
      <c r="H306" s="142"/>
    </row>
    <row r="307" spans="1:8" ht="15" customHeight="1">
      <c r="A307" s="60"/>
      <c r="B307" s="61"/>
      <c r="C307" s="62"/>
      <c r="D307" s="62"/>
      <c r="E307" s="63">
        <f>SUM(E309:E310)</f>
        <v>22.312</v>
      </c>
      <c r="G307" s="129"/>
      <c r="H307" s="142"/>
    </row>
    <row r="308" spans="1:18" ht="15" customHeight="1">
      <c r="A308" s="231" t="s">
        <v>5</v>
      </c>
      <c r="B308" s="231"/>
      <c r="C308" s="64" t="s">
        <v>17</v>
      </c>
      <c r="D308" s="184" t="s">
        <v>18</v>
      </c>
      <c r="E308" s="46" t="s">
        <v>7</v>
      </c>
      <c r="G308" s="131" t="str">
        <f>CONCATENATE("Misc. Iron Scrap, Lying at ",C309,". Quantity in MT - ")</f>
        <v>Misc. Iron Scrap, Lying at Pilot W/Shop Sri Muktsar Sahib. Quantity in MT - </v>
      </c>
      <c r="H308" s="261" t="str">
        <f ca="1">CONCATENATE(G308,G309,(INDIRECT(I309)),(INDIRECT(J309)),(INDIRECT(K309)),(INDIRECT(L309)),(INDIRECT(M309)),(INDIRECT(N309)),(INDIRECT(O309)),(INDIRECT(P309)),(INDIRECT(Q309)),(INDIRECT(R309)),".")</f>
        <v>Misc. Iron Scrap, Lying at Pilot W/Shop Sri Muktsar Sahib. Quantity in MT - MS iron scrap / GI scrap - 10.182, HT wire scrap off size - 12.13, .</v>
      </c>
      <c r="I308" s="138" t="str">
        <f aca="true" ca="1" t="array" ref="I308">CELL("address",INDEX(G308:G326,MATCH(TRUE,ISBLANK(G308:G326),0)))</f>
        <v>$G$311</v>
      </c>
      <c r="J308" s="138">
        <f aca="true" t="array" ref="J308">MATCH(TRUE,ISBLANK(G308:G326),0)</f>
        <v>4</v>
      </c>
      <c r="K308" s="138">
        <f>J308-3</f>
        <v>1</v>
      </c>
      <c r="L308" s="138"/>
      <c r="M308" s="138"/>
      <c r="N308" s="138"/>
      <c r="O308" s="138"/>
      <c r="P308" s="138"/>
      <c r="Q308" s="138"/>
      <c r="R308" s="138"/>
    </row>
    <row r="309" spans="1:18" ht="15" customHeight="1">
      <c r="A309" s="244" t="s">
        <v>21</v>
      </c>
      <c r="B309" s="316"/>
      <c r="C309" s="237" t="s">
        <v>19</v>
      </c>
      <c r="D309" s="46" t="s">
        <v>20</v>
      </c>
      <c r="E309" s="52">
        <v>10.182</v>
      </c>
      <c r="G309" s="129" t="str">
        <f>CONCATENATE(D309," - ",E309,", ")</f>
        <v>MS iron scrap / GI scrap - 10.182, </v>
      </c>
      <c r="H309" s="261"/>
      <c r="I309" s="138" t="str">
        <f ca="1">IF(J308&gt;=3,(MID(I308,2,1)&amp;MID(I308,4,3)-K308),CELL("address",Z309))</f>
        <v>G310</v>
      </c>
      <c r="J309" s="138" t="str">
        <f ca="1">IF(J308&gt;=4,(MID(I309,1,1)&amp;MID(I309,2,3)+1),CELL("address",AA309))</f>
        <v>G311</v>
      </c>
      <c r="K309" s="138" t="str">
        <f ca="1">IF(J308&gt;=5,(MID(J309,1,1)&amp;MID(J309,2,3)+1),CELL("address",AB309))</f>
        <v>$AB$309</v>
      </c>
      <c r="L309" s="138" t="str">
        <f ca="1">IF(J308&gt;=6,(MID(K309,1,1)&amp;MID(K309,2,3)+1),CELL("address",AC309))</f>
        <v>$AC$309</v>
      </c>
      <c r="M309" s="138" t="str">
        <f ca="1">IF(J308&gt;=7,(MID(L309,1,1)&amp;MID(L309,2,3)+1),CELL("address",AD309))</f>
        <v>$AD$309</v>
      </c>
      <c r="N309" s="138" t="str">
        <f ca="1">IF(J308&gt;=8,(MID(M309,1,1)&amp;MID(M309,2,3)+1),CELL("address",AE309))</f>
        <v>$AE$309</v>
      </c>
      <c r="O309" s="138" t="str">
        <f ca="1">IF(J308&gt;=9,(MID(N309,1,1)&amp;MID(N309,2,3)+1),CELL("address",AF309))</f>
        <v>$AF$309</v>
      </c>
      <c r="P309" s="138" t="str">
        <f ca="1">IF(J308&gt;=10,(MID(O309,1,1)&amp;MID(O309,2,3)+1),CELL("address",AG309))</f>
        <v>$AG$309</v>
      </c>
      <c r="Q309" s="138" t="str">
        <f ca="1">IF(J308&gt;=11,(MID(P309,1,1)&amp;MID(P309,2,3)+1),CELL("address",AH309))</f>
        <v>$AH$309</v>
      </c>
      <c r="R309" s="138" t="str">
        <f ca="1">IF(J308&gt;=12,(MID(Q309,1,1)&amp;MID(Q309,2,3)+1),CELL("address",AI309))</f>
        <v>$AI$309</v>
      </c>
    </row>
    <row r="310" spans="1:8" ht="15" customHeight="1">
      <c r="A310" s="292"/>
      <c r="B310" s="293"/>
      <c r="C310" s="268"/>
      <c r="D310" s="46" t="s">
        <v>72</v>
      </c>
      <c r="E310" s="52">
        <v>12.13</v>
      </c>
      <c r="G310" s="129" t="str">
        <f>CONCATENATE(D310," - ",E310,", ")</f>
        <v>HT wire scrap off size - 12.13, </v>
      </c>
      <c r="H310" s="142"/>
    </row>
    <row r="311" spans="1:8" ht="15" customHeight="1">
      <c r="A311" s="45"/>
      <c r="B311" s="47"/>
      <c r="C311" s="54"/>
      <c r="D311" s="44"/>
      <c r="E311" s="65"/>
      <c r="G311" s="129"/>
      <c r="H311" s="142"/>
    </row>
    <row r="312" spans="1:8" ht="15" customHeight="1">
      <c r="A312" s="60"/>
      <c r="B312" s="61"/>
      <c r="C312" s="62"/>
      <c r="D312" s="62"/>
      <c r="E312" s="63">
        <f>SUM(E314:E315)</f>
        <v>19.325</v>
      </c>
      <c r="G312" s="129"/>
      <c r="H312" s="142"/>
    </row>
    <row r="313" spans="1:18" ht="15" customHeight="1">
      <c r="A313" s="231" t="s">
        <v>5</v>
      </c>
      <c r="B313" s="231"/>
      <c r="C313" s="64" t="s">
        <v>17</v>
      </c>
      <c r="D313" s="184" t="s">
        <v>18</v>
      </c>
      <c r="E313" s="46" t="s">
        <v>7</v>
      </c>
      <c r="G313" s="131" t="str">
        <f>CONCATENATE("Misc. Iron Scrap, Lying at ",C314,". Quantity in MT - ")</f>
        <v>Misc. Iron Scrap, Lying at Pilot Workshop Mohali. Quantity in MT - </v>
      </c>
      <c r="H313" s="261" t="str">
        <f ca="1">CONCATENATE(G313,G314,(INDIRECT(I314)),(INDIRECT(J314)),(INDIRECT(K314)),(INDIRECT(L314)),(INDIRECT(M314)),(INDIRECT(N314)),(INDIRECT(O314)),(INDIRECT(P314)),(INDIRECT(Q314)),(INDIRECT(R314)),".")</f>
        <v>Misc. Iron Scrap, Lying at Pilot Workshop Mohali. Quantity in MT - HT Wire scrap &amp; other intermingled iron scrap - 14, MS iron scrap ( MS sections, scrapped T&amp;P etc) - 5.325, .</v>
      </c>
      <c r="I313" s="138" t="str">
        <f aca="true" ca="1" t="array" ref="I313">CELL("address",INDEX(G313:G331,MATCH(TRUE,ISBLANK(G313:G331),0)))</f>
        <v>$G$316</v>
      </c>
      <c r="J313" s="138">
        <f aca="true" t="array" ref="J313">MATCH(TRUE,ISBLANK(G313:G331),0)</f>
        <v>4</v>
      </c>
      <c r="K313" s="138">
        <f>J313-3</f>
        <v>1</v>
      </c>
      <c r="L313" s="138"/>
      <c r="M313" s="138"/>
      <c r="N313" s="138"/>
      <c r="O313" s="138"/>
      <c r="P313" s="138"/>
      <c r="Q313" s="138"/>
      <c r="R313" s="138"/>
    </row>
    <row r="314" spans="1:18" ht="15" customHeight="1">
      <c r="A314" s="231" t="s">
        <v>30</v>
      </c>
      <c r="B314" s="231"/>
      <c r="C314" s="237" t="s">
        <v>55</v>
      </c>
      <c r="D314" s="48" t="s">
        <v>56</v>
      </c>
      <c r="E314" s="52">
        <v>14</v>
      </c>
      <c r="G314" s="129" t="str">
        <f>CONCATENATE(D314," - ",E314,", ")</f>
        <v>HT Wire scrap &amp; other intermingled iron scrap - 14, </v>
      </c>
      <c r="H314" s="261"/>
      <c r="I314" s="138" t="str">
        <f ca="1">IF(J313&gt;=3,(MID(I313,2,1)&amp;MID(I313,4,3)-K313),CELL("address",Z314))</f>
        <v>G315</v>
      </c>
      <c r="J314" s="138" t="str">
        <f ca="1">IF(J313&gt;=4,(MID(I314,1,1)&amp;MID(I314,2,3)+1),CELL("address",AA314))</f>
        <v>G316</v>
      </c>
      <c r="K314" s="138" t="str">
        <f ca="1">IF(J313&gt;=5,(MID(J314,1,1)&amp;MID(J314,2,3)+1),CELL("address",AB314))</f>
        <v>$AB$314</v>
      </c>
      <c r="L314" s="138" t="str">
        <f ca="1">IF(J313&gt;=6,(MID(K314,1,1)&amp;MID(K314,2,3)+1),CELL("address",AC314))</f>
        <v>$AC$314</v>
      </c>
      <c r="M314" s="138" t="str">
        <f ca="1">IF(J313&gt;=7,(MID(L314,1,1)&amp;MID(L314,2,3)+1),CELL("address",AD314))</f>
        <v>$AD$314</v>
      </c>
      <c r="N314" s="138" t="str">
        <f ca="1">IF(J313&gt;=8,(MID(M314,1,1)&amp;MID(M314,2,3)+1),CELL("address",AE314))</f>
        <v>$AE$314</v>
      </c>
      <c r="O314" s="138" t="str">
        <f ca="1">IF(J313&gt;=9,(MID(N314,1,1)&amp;MID(N314,2,3)+1),CELL("address",AF314))</f>
        <v>$AF$314</v>
      </c>
      <c r="P314" s="138" t="str">
        <f ca="1">IF(J313&gt;=10,(MID(O314,1,1)&amp;MID(O314,2,3)+1),CELL("address",AG314))</f>
        <v>$AG$314</v>
      </c>
      <c r="Q314" s="138" t="str">
        <f ca="1">IF(J313&gt;=11,(MID(P314,1,1)&amp;MID(P314,2,3)+1),CELL("address",AH314))</f>
        <v>$AH$314</v>
      </c>
      <c r="R314" s="138" t="str">
        <f ca="1">IF(J313&gt;=12,(MID(Q314,1,1)&amp;MID(Q314,2,3)+1),CELL("address",AI314))</f>
        <v>$AI$314</v>
      </c>
    </row>
    <row r="315" spans="1:8" ht="15" customHeight="1">
      <c r="A315" s="231"/>
      <c r="B315" s="231"/>
      <c r="C315" s="237"/>
      <c r="D315" s="93" t="s">
        <v>57</v>
      </c>
      <c r="E315" s="52">
        <v>5.325</v>
      </c>
      <c r="G315" s="129" t="str">
        <f>CONCATENATE(D315," - ",E315,", ")</f>
        <v>MS iron scrap ( MS sections, scrapped T&amp;P etc) - 5.325, </v>
      </c>
      <c r="H315" s="142"/>
    </row>
    <row r="316" spans="1:8" ht="15" customHeight="1">
      <c r="A316" s="45"/>
      <c r="B316" s="47"/>
      <c r="C316" s="54"/>
      <c r="D316" s="44"/>
      <c r="E316" s="65"/>
      <c r="G316" s="129"/>
      <c r="H316" s="142"/>
    </row>
    <row r="317" spans="1:8" ht="15" customHeight="1">
      <c r="A317" s="60"/>
      <c r="B317" s="61"/>
      <c r="C317" s="61"/>
      <c r="D317" s="62"/>
      <c r="E317" s="66">
        <f>SUM(E319:E319)</f>
        <v>26687</v>
      </c>
      <c r="G317" s="129"/>
      <c r="H317" s="142"/>
    </row>
    <row r="318" spans="1:18" ht="15" customHeight="1">
      <c r="A318" s="231" t="s">
        <v>5</v>
      </c>
      <c r="B318" s="231"/>
      <c r="C318" s="46" t="s">
        <v>17</v>
      </c>
      <c r="D318" s="184" t="s">
        <v>18</v>
      </c>
      <c r="E318" s="46" t="s">
        <v>70</v>
      </c>
      <c r="G318" s="131" t="str">
        <f>CONCATENATE("Misc. Iron Scrap, Lying at ",C319,". Quantity in No - ")</f>
        <v>Misc. Iron Scrap, Lying at S &amp; T Store Bathinda. Quantity in No - </v>
      </c>
      <c r="H318" s="261" t="str">
        <f ca="1">CONCATENATE(G318,G319,(INDIRECT(I319)),(INDIRECT(J319)),(INDIRECT(K319)),(INDIRECT(L319)),(INDIRECT(M319)),(INDIRECT(N319)),(INDIRECT(O319)),(INDIRECT(P319)),(INDIRECT(Q319)),(INDIRECT(R319)),".")</f>
        <v>Misc. Iron Scrap, Lying at S &amp; T Store Bathinda. Quantity in No - Disc Insulator Scrap - 26687, .</v>
      </c>
      <c r="I318" s="138" t="str">
        <f aca="true" ca="1" t="array" ref="I318">CELL("address",INDEX(G318:G339,MATCH(TRUE,ISBLANK(G318:G339),0)))</f>
        <v>$G$320</v>
      </c>
      <c r="J318" s="138">
        <f aca="true" t="array" ref="J318">MATCH(TRUE,ISBLANK(G318:G339),0)</f>
        <v>3</v>
      </c>
      <c r="K318" s="138">
        <f>J318-3</f>
        <v>0</v>
      </c>
      <c r="L318" s="138"/>
      <c r="M318" s="138"/>
      <c r="N318" s="138"/>
      <c r="O318" s="138"/>
      <c r="P318" s="138"/>
      <c r="Q318" s="138"/>
      <c r="R318" s="138"/>
    </row>
    <row r="319" spans="1:18" ht="15" customHeight="1">
      <c r="A319" s="244" t="s">
        <v>33</v>
      </c>
      <c r="B319" s="245"/>
      <c r="C319" s="189" t="s">
        <v>58</v>
      </c>
      <c r="D319" s="46" t="s">
        <v>71</v>
      </c>
      <c r="E319" s="67">
        <v>26687</v>
      </c>
      <c r="G319" s="129" t="str">
        <f>CONCATENATE(D319," - ",E319,", ")</f>
        <v>Disc Insulator Scrap - 26687, </v>
      </c>
      <c r="H319" s="261"/>
      <c r="I319" s="138" t="str">
        <f ca="1">IF(J318&gt;=3,(MID(I318,2,1)&amp;MID(I318,4,3)-K318),CELL("address",Z319))</f>
        <v>G320</v>
      </c>
      <c r="J319" s="138" t="str">
        <f ca="1">IF(J318&gt;=4,(MID(I319,1,1)&amp;MID(I319,2,3)+1),CELL("address",AA319))</f>
        <v>$AA$319</v>
      </c>
      <c r="K319" s="138" t="str">
        <f ca="1">IF(J318&gt;=5,(MID(J319,1,1)&amp;MID(J319,2,3)+1),CELL("address",AB319))</f>
        <v>$AB$319</v>
      </c>
      <c r="L319" s="138" t="str">
        <f ca="1">IF(J318&gt;=6,(MID(K319,1,1)&amp;MID(K319,2,3)+1),CELL("address",AC319))</f>
        <v>$AC$319</v>
      </c>
      <c r="M319" s="138" t="str">
        <f ca="1">IF(J318&gt;=7,(MID(L319,1,1)&amp;MID(L319,2,3)+1),CELL("address",AD319))</f>
        <v>$AD$319</v>
      </c>
      <c r="N319" s="138" t="str">
        <f ca="1">IF(J318&gt;=8,(MID(M319,1,1)&amp;MID(M319,2,3)+1),CELL("address",AE319))</f>
        <v>$AE$319</v>
      </c>
      <c r="O319" s="138" t="str">
        <f ca="1">IF(J318&gt;=9,(MID(N319,1,1)&amp;MID(N319,2,3)+1),CELL("address",AF319))</f>
        <v>$AF$319</v>
      </c>
      <c r="P319" s="138" t="str">
        <f ca="1">IF(J318&gt;=10,(MID(O319,1,1)&amp;MID(O319,2,3)+1),CELL("address",AG319))</f>
        <v>$AG$319</v>
      </c>
      <c r="Q319" s="138" t="str">
        <f ca="1">IF(J318&gt;=11,(MID(P319,1,1)&amp;MID(P319,2,3)+1),CELL("address",AH319))</f>
        <v>$AH$319</v>
      </c>
      <c r="R319" s="138" t="str">
        <f ca="1">IF(J318&gt;=12,(MID(Q319,1,1)&amp;MID(Q319,2,3)+1),CELL("address",AI319))</f>
        <v>$AI$319</v>
      </c>
    </row>
    <row r="320" spans="1:8" ht="15" customHeight="1">
      <c r="A320" s="45"/>
      <c r="B320" s="48"/>
      <c r="C320" s="184"/>
      <c r="D320" s="46"/>
      <c r="E320" s="68"/>
      <c r="G320" s="129"/>
      <c r="H320" s="142"/>
    </row>
    <row r="321" spans="1:8" ht="15" customHeight="1">
      <c r="A321" s="60"/>
      <c r="B321" s="61"/>
      <c r="C321" s="61"/>
      <c r="D321" s="62"/>
      <c r="E321" s="63">
        <f>SUM(E323:E324)</f>
        <v>128.268</v>
      </c>
      <c r="G321" s="129"/>
      <c r="H321" s="142"/>
    </row>
    <row r="322" spans="1:18" ht="15" customHeight="1">
      <c r="A322" s="231" t="s">
        <v>5</v>
      </c>
      <c r="B322" s="231"/>
      <c r="C322" s="46" t="s">
        <v>17</v>
      </c>
      <c r="D322" s="184" t="s">
        <v>18</v>
      </c>
      <c r="E322" s="46" t="s">
        <v>7</v>
      </c>
      <c r="G322" s="131" t="str">
        <f>CONCATENATE("Misc. Iron Scrap, Lying at ",C323,". Quantity in MT - ")</f>
        <v>Misc. Iron Scrap, Lying at S &amp; T Store Bathinda. Quantity in MT - </v>
      </c>
      <c r="H322" s="261" t="str">
        <f ca="1">CONCATENATE(G322,G323,(INDIRECT(I323)),(INDIRECT(J323)),(INDIRECT(K323)),(INDIRECT(L323)),(INDIRECT(M323)),(INDIRECT(N323)),(INDIRECT(O323)),(INDIRECT(P323)),(INDIRECT(Q323)),(INDIRECT(R323)),".")</f>
        <v>Misc. Iron Scrap, Lying at S &amp; T Store Bathinda. Quantity in MT - MS Rail scrap - 123.916, Earthwire GSL scrap - 4.352, .</v>
      </c>
      <c r="I322" s="138" t="str">
        <f aca="true" ca="1" t="array" ref="I322">CELL("address",INDEX(G322:G344,MATCH(TRUE,ISBLANK(G322:G344),0)))</f>
        <v>$G$325</v>
      </c>
      <c r="J322" s="138">
        <f aca="true" t="array" ref="J322">MATCH(TRUE,ISBLANK(G322:G344),0)</f>
        <v>4</v>
      </c>
      <c r="K322" s="138">
        <f>J322-3</f>
        <v>1</v>
      </c>
      <c r="L322" s="138"/>
      <c r="M322" s="138"/>
      <c r="N322" s="138"/>
      <c r="O322" s="138"/>
      <c r="P322" s="138"/>
      <c r="Q322" s="138"/>
      <c r="R322" s="138"/>
    </row>
    <row r="323" spans="1:18" ht="15" customHeight="1">
      <c r="A323" s="231" t="s">
        <v>51</v>
      </c>
      <c r="B323" s="231"/>
      <c r="C323" s="237" t="s">
        <v>58</v>
      </c>
      <c r="D323" s="46" t="s">
        <v>62</v>
      </c>
      <c r="E323" s="52">
        <v>123.916</v>
      </c>
      <c r="G323" s="129" t="str">
        <f>CONCATENATE(D323," - ",E323,", ")</f>
        <v>MS Rail scrap - 123.916, </v>
      </c>
      <c r="H323" s="261"/>
      <c r="I323" s="138" t="str">
        <f ca="1">IF(J322&gt;=3,(MID(I322,2,1)&amp;MID(I322,4,3)-K322),CELL("address",Z323))</f>
        <v>G324</v>
      </c>
      <c r="J323" s="138" t="str">
        <f ca="1">IF(J322&gt;=4,(MID(I323,1,1)&amp;MID(I323,2,3)+1),CELL("address",AA323))</f>
        <v>G325</v>
      </c>
      <c r="K323" s="138" t="str">
        <f ca="1">IF(J322&gt;=5,(MID(J323,1,1)&amp;MID(J323,2,3)+1),CELL("address",AB323))</f>
        <v>$AB$323</v>
      </c>
      <c r="L323" s="138" t="str">
        <f ca="1">IF(J322&gt;=6,(MID(K323,1,1)&amp;MID(K323,2,3)+1),CELL("address",AC323))</f>
        <v>$AC$323</v>
      </c>
      <c r="M323" s="138" t="str">
        <f ca="1">IF(J322&gt;=7,(MID(L323,1,1)&amp;MID(L323,2,3)+1),CELL("address",AD323))</f>
        <v>$AD$323</v>
      </c>
      <c r="N323" s="138" t="str">
        <f ca="1">IF(J322&gt;=8,(MID(M323,1,1)&amp;MID(M323,2,3)+1),CELL("address",AE323))</f>
        <v>$AE$323</v>
      </c>
      <c r="O323" s="138" t="str">
        <f ca="1">IF(J322&gt;=9,(MID(N323,1,1)&amp;MID(N323,2,3)+1),CELL("address",AF323))</f>
        <v>$AF$323</v>
      </c>
      <c r="P323" s="138" t="str">
        <f ca="1">IF(J322&gt;=10,(MID(O323,1,1)&amp;MID(O323,2,3)+1),CELL("address",AG323))</f>
        <v>$AG$323</v>
      </c>
      <c r="Q323" s="138" t="str">
        <f ca="1">IF(J322&gt;=11,(MID(P323,1,1)&amp;MID(P323,2,3)+1),CELL("address",AH323))</f>
        <v>$AH$323</v>
      </c>
      <c r="R323" s="138" t="str">
        <f ca="1">IF(J322&gt;=12,(MID(Q323,1,1)&amp;MID(Q323,2,3)+1),CELL("address",AI323))</f>
        <v>$AI$323</v>
      </c>
    </row>
    <row r="324" spans="1:8" ht="15" customHeight="1">
      <c r="A324" s="231"/>
      <c r="B324" s="231"/>
      <c r="C324" s="237"/>
      <c r="D324" s="46" t="s">
        <v>139</v>
      </c>
      <c r="E324" s="52">
        <v>4.352</v>
      </c>
      <c r="G324" s="129" t="str">
        <f>CONCATENATE(D324," - ",E324,", ")</f>
        <v>Earthwire GSL scrap - 4.352, </v>
      </c>
      <c r="H324" s="142"/>
    </row>
    <row r="325" spans="1:8" ht="15" customHeight="1">
      <c r="A325" s="45"/>
      <c r="B325" s="47"/>
      <c r="C325" s="54"/>
      <c r="D325" s="47"/>
      <c r="E325" s="69"/>
      <c r="G325" s="129"/>
      <c r="H325" s="142"/>
    </row>
    <row r="326" spans="1:8" ht="15" customHeight="1">
      <c r="A326" s="60"/>
      <c r="B326" s="61"/>
      <c r="C326" s="61"/>
      <c r="D326" s="64"/>
      <c r="E326" s="59">
        <f>SUM(E328:E328)</f>
        <v>0.337</v>
      </c>
      <c r="G326" s="129"/>
      <c r="H326" s="142"/>
    </row>
    <row r="327" spans="1:18" ht="15" customHeight="1">
      <c r="A327" s="231" t="s">
        <v>5</v>
      </c>
      <c r="B327" s="231"/>
      <c r="C327" s="46" t="s">
        <v>17</v>
      </c>
      <c r="D327" s="184" t="s">
        <v>18</v>
      </c>
      <c r="E327" s="46" t="s">
        <v>7</v>
      </c>
      <c r="G327" s="131" t="str">
        <f>CONCATENATE("Misc. Iron Scrap, Lying at ",C328,". Quantity in MT - ")</f>
        <v>Misc. Iron Scrap, Lying at CS Ferozepur. Quantity in MT - </v>
      </c>
      <c r="H327" s="261" t="str">
        <f ca="1">CONCATENATE(G327,G328,(INDIRECT(I328)),(INDIRECT(J328)),(INDIRECT(K328)),(INDIRECT(L328)),(INDIRECT(M328)),(INDIRECT(N328)),(INDIRECT(O328)),(INDIRECT(P328)),(INDIRECT(Q328)),(INDIRECT(R328)),".")</f>
        <v>Misc. Iron Scrap, Lying at CS Ferozepur. Quantity in MT - MS iron scrap - 0.337, .</v>
      </c>
      <c r="I327" s="138" t="str">
        <f aca="true" ca="1" t="array" ref="I327">CELL("address",INDEX(G327:G346,MATCH(TRUE,ISBLANK(G327:G346),0)))</f>
        <v>$G$329</v>
      </c>
      <c r="J327" s="138">
        <f aca="true" t="array" ref="J327">MATCH(TRUE,ISBLANK(G327:G346),0)</f>
        <v>3</v>
      </c>
      <c r="K327" s="138">
        <f>J327-3</f>
        <v>0</v>
      </c>
      <c r="L327" s="138"/>
      <c r="M327" s="138"/>
      <c r="N327" s="138"/>
      <c r="O327" s="138"/>
      <c r="P327" s="138"/>
      <c r="Q327" s="138"/>
      <c r="R327" s="138"/>
    </row>
    <row r="328" spans="1:18" ht="15" customHeight="1">
      <c r="A328" s="231" t="s">
        <v>66</v>
      </c>
      <c r="B328" s="231"/>
      <c r="C328" s="184" t="s">
        <v>100</v>
      </c>
      <c r="D328" s="48" t="s">
        <v>29</v>
      </c>
      <c r="E328" s="69">
        <v>0.337</v>
      </c>
      <c r="G328" s="129" t="str">
        <f>CONCATENATE(D328," - ",E328,", ")</f>
        <v>MS iron scrap - 0.337, </v>
      </c>
      <c r="H328" s="261"/>
      <c r="I328" s="138" t="str">
        <f ca="1">IF(J327&gt;=3,(MID(I327,2,1)&amp;MID(I327,4,3)-K327),CELL("address",Z328))</f>
        <v>G329</v>
      </c>
      <c r="J328" s="138" t="str">
        <f ca="1">IF(J327&gt;=4,(MID(I328,1,1)&amp;MID(I328,2,3)+1),CELL("address",AA328))</f>
        <v>$AA$328</v>
      </c>
      <c r="K328" s="138" t="str">
        <f ca="1">IF(J327&gt;=5,(MID(J328,1,1)&amp;MID(J328,2,3)+1),CELL("address",AB328))</f>
        <v>$AB$328</v>
      </c>
      <c r="L328" s="138" t="str">
        <f ca="1">IF(J327&gt;=6,(MID(K328,1,1)&amp;MID(K328,2,3)+1),CELL("address",AC328))</f>
        <v>$AC$328</v>
      </c>
      <c r="M328" s="138" t="str">
        <f ca="1">IF(J327&gt;=7,(MID(L328,1,1)&amp;MID(L328,2,3)+1),CELL("address",AD328))</f>
        <v>$AD$328</v>
      </c>
      <c r="N328" s="138" t="str">
        <f ca="1">IF(J327&gt;=8,(MID(M328,1,1)&amp;MID(M328,2,3)+1),CELL("address",AE328))</f>
        <v>$AE$328</v>
      </c>
      <c r="O328" s="138" t="str">
        <f ca="1">IF(J327&gt;=9,(MID(N328,1,1)&amp;MID(N328,2,3)+1),CELL("address",AF328))</f>
        <v>$AF$328</v>
      </c>
      <c r="P328" s="138" t="str">
        <f ca="1">IF(J327&gt;=10,(MID(O328,1,1)&amp;MID(O328,2,3)+1),CELL("address",AG328))</f>
        <v>$AG$328</v>
      </c>
      <c r="Q328" s="138" t="str">
        <f ca="1">IF(J327&gt;=11,(MID(P328,1,1)&amp;MID(P328,2,3)+1),CELL("address",AH328))</f>
        <v>$AH$328</v>
      </c>
      <c r="R328" s="138" t="str">
        <f ca="1">IF(J327&gt;=12,(MID(Q328,1,1)&amp;MID(Q328,2,3)+1),CELL("address",AI328))</f>
        <v>$AI$328</v>
      </c>
    </row>
    <row r="329" spans="1:8" ht="15" customHeight="1">
      <c r="A329" s="45"/>
      <c r="B329" s="47"/>
      <c r="C329" s="54"/>
      <c r="D329" s="44"/>
      <c r="E329" s="73"/>
      <c r="G329" s="129"/>
      <c r="H329" s="142"/>
    </row>
    <row r="330" spans="1:8" ht="15" customHeight="1">
      <c r="A330" s="60"/>
      <c r="B330" s="61"/>
      <c r="C330" s="61"/>
      <c r="D330" s="64"/>
      <c r="E330" s="59">
        <f>SUM(E332:E336)</f>
        <v>8.654000000000002</v>
      </c>
      <c r="G330" s="129"/>
      <c r="H330" s="142"/>
    </row>
    <row r="331" spans="1:18" ht="15" customHeight="1">
      <c r="A331" s="231" t="s">
        <v>5</v>
      </c>
      <c r="B331" s="231"/>
      <c r="C331" s="46" t="s">
        <v>17</v>
      </c>
      <c r="D331" s="184" t="s">
        <v>18</v>
      </c>
      <c r="E331" s="46" t="s">
        <v>7</v>
      </c>
      <c r="G331" s="131" t="str">
        <f>CONCATENATE("Misc. Iron Scrap, Lying at ",C332,". Quantity in MT - ")</f>
        <v>Misc. Iron Scrap, Lying at OL Ropar. Quantity in MT - </v>
      </c>
      <c r="H331" s="261" t="str">
        <f ca="1">CONCATENATE(G331,G332,(INDIRECT(I332)),(INDIRECT(J332)),(INDIRECT(K332)),(INDIRECT(L332)),(INDIRECT(M332)),(INDIRECT(N332)),(INDIRECT(O332)),(INDIRECT(P332)),(INDIRECT(Q332)),(INDIRECT(R332)),".")</f>
        <v>Misc. Iron Scrap, Lying at OL Ropar. Quantity in MT - Transformer body scrap - 1.393, MS iron scrap - 6.946, G.I. Scrap - 0.117, GI wire /GSL scrap - 0.012, MS Rail scrap - 0.186, .</v>
      </c>
      <c r="I331" s="138" t="str">
        <f aca="true" ca="1" t="array" ref="I331">CELL("address",INDEX(G331:G346,MATCH(TRUE,ISBLANK(G331:G346),0)))</f>
        <v>$G$337</v>
      </c>
      <c r="J331" s="138">
        <f aca="true" t="array" ref="J331">MATCH(TRUE,ISBLANK(G331:G346),0)</f>
        <v>7</v>
      </c>
      <c r="K331" s="138">
        <f>J331-3</f>
        <v>4</v>
      </c>
      <c r="L331" s="138"/>
      <c r="M331" s="138"/>
      <c r="N331" s="138"/>
      <c r="O331" s="138"/>
      <c r="P331" s="138"/>
      <c r="Q331" s="138"/>
      <c r="R331" s="138"/>
    </row>
    <row r="332" spans="1:18" ht="15" customHeight="1">
      <c r="A332" s="231" t="s">
        <v>67</v>
      </c>
      <c r="B332" s="231"/>
      <c r="C332" s="237" t="s">
        <v>99</v>
      </c>
      <c r="D332" s="105" t="s">
        <v>61</v>
      </c>
      <c r="E332" s="52">
        <v>1.393</v>
      </c>
      <c r="G332" s="129" t="str">
        <f>CONCATENATE(D332," - ",E332,", ")</f>
        <v>Transformer body scrap - 1.393, </v>
      </c>
      <c r="H332" s="261"/>
      <c r="I332" s="138" t="str">
        <f ca="1">IF(J331&gt;=3,(MID(I331,2,1)&amp;MID(I331,4,3)-K331),CELL("address",Z332))</f>
        <v>G333</v>
      </c>
      <c r="J332" s="138" t="str">
        <f ca="1">IF(J331&gt;=4,(MID(I332,1,1)&amp;MID(I332,2,3)+1),CELL("address",AA332))</f>
        <v>G334</v>
      </c>
      <c r="K332" s="138" t="str">
        <f ca="1">IF(J331&gt;=5,(MID(J332,1,1)&amp;MID(J332,2,3)+1),CELL("address",AB332))</f>
        <v>G335</v>
      </c>
      <c r="L332" s="138" t="str">
        <f ca="1">IF(J331&gt;=6,(MID(K332,1,1)&amp;MID(K332,2,3)+1),CELL("address",AC332))</f>
        <v>G336</v>
      </c>
      <c r="M332" s="138" t="str">
        <f ca="1">IF(J331&gt;=7,(MID(L332,1,1)&amp;MID(L332,2,3)+1),CELL("address",AD332))</f>
        <v>G337</v>
      </c>
      <c r="N332" s="138" t="str">
        <f ca="1">IF(J331&gt;=8,(MID(M332,1,1)&amp;MID(M332,2,3)+1),CELL("address",AE332))</f>
        <v>$AE$332</v>
      </c>
      <c r="O332" s="138" t="str">
        <f ca="1">IF(J331&gt;=9,(MID(N332,1,1)&amp;MID(N332,2,3)+1),CELL("address",AF332))</f>
        <v>$AF$332</v>
      </c>
      <c r="P332" s="138" t="str">
        <f ca="1">IF(J331&gt;=10,(MID(O332,1,1)&amp;MID(O332,2,3)+1),CELL("address",AG332))</f>
        <v>$AG$332</v>
      </c>
      <c r="Q332" s="138" t="str">
        <f ca="1">IF(J331&gt;=11,(MID(P332,1,1)&amp;MID(P332,2,3)+1),CELL("address",AH332))</f>
        <v>$AH$332</v>
      </c>
      <c r="R332" s="138" t="str">
        <f ca="1">IF(J331&gt;=12,(MID(Q332,1,1)&amp;MID(Q332,2,3)+1),CELL("address",AI332))</f>
        <v>$AI$332</v>
      </c>
    </row>
    <row r="333" spans="1:8" ht="15" customHeight="1">
      <c r="A333" s="231"/>
      <c r="B333" s="231"/>
      <c r="C333" s="237"/>
      <c r="D333" s="48" t="s">
        <v>29</v>
      </c>
      <c r="E333" s="71">
        <v>6.946</v>
      </c>
      <c r="G333" s="129" t="str">
        <f>CONCATENATE(D333," - ",E333,", ")</f>
        <v>MS iron scrap - 6.946, </v>
      </c>
      <c r="H333" s="142"/>
    </row>
    <row r="334" spans="1:8" ht="15" customHeight="1">
      <c r="A334" s="231"/>
      <c r="B334" s="231"/>
      <c r="C334" s="237"/>
      <c r="D334" s="105" t="s">
        <v>195</v>
      </c>
      <c r="E334" s="71">
        <v>0.117</v>
      </c>
      <c r="G334" s="129" t="str">
        <f>CONCATENATE(D334," - ",E334,", ")</f>
        <v>G.I. Scrap - 0.117, </v>
      </c>
      <c r="H334" s="142"/>
    </row>
    <row r="335" spans="1:8" ht="15" customHeight="1">
      <c r="A335" s="231"/>
      <c r="B335" s="231"/>
      <c r="C335" s="237"/>
      <c r="D335" s="48" t="s">
        <v>221</v>
      </c>
      <c r="E335" s="71">
        <v>0.012</v>
      </c>
      <c r="G335" s="129" t="str">
        <f>CONCATENATE(D335," - ",E335,", ")</f>
        <v>GI wire /GSL scrap - 0.012, </v>
      </c>
      <c r="H335" s="142"/>
    </row>
    <row r="336" spans="1:8" ht="15" customHeight="1">
      <c r="A336" s="231"/>
      <c r="B336" s="231"/>
      <c r="C336" s="237"/>
      <c r="D336" s="46" t="s">
        <v>62</v>
      </c>
      <c r="E336" s="71">
        <v>0.186</v>
      </c>
      <c r="G336" s="129" t="str">
        <f>CONCATENATE(D336," - ",E336,", ")</f>
        <v>MS Rail scrap - 0.186, </v>
      </c>
      <c r="H336" s="142"/>
    </row>
    <row r="337" spans="1:8" ht="15" customHeight="1">
      <c r="A337" s="97"/>
      <c r="B337" s="98"/>
      <c r="C337" s="99"/>
      <c r="D337" s="44"/>
      <c r="E337" s="73"/>
      <c r="G337" s="129"/>
      <c r="H337" s="142"/>
    </row>
    <row r="338" spans="1:8" ht="15" customHeight="1">
      <c r="A338" s="238"/>
      <c r="B338" s="239"/>
      <c r="C338" s="46"/>
      <c r="D338" s="64"/>
      <c r="E338" s="70">
        <f>SUM(E340:E341)</f>
        <v>1.78</v>
      </c>
      <c r="G338" s="129"/>
      <c r="H338" s="142"/>
    </row>
    <row r="339" spans="1:18" ht="15" customHeight="1">
      <c r="A339" s="231" t="s">
        <v>5</v>
      </c>
      <c r="B339" s="231"/>
      <c r="C339" s="46" t="s">
        <v>17</v>
      </c>
      <c r="D339" s="184" t="s">
        <v>18</v>
      </c>
      <c r="E339" s="45" t="s">
        <v>7</v>
      </c>
      <c r="G339" s="131" t="str">
        <f>CONCATENATE("Misc. Iron Scrap, Lying at ",C340,". Quantity in MT - ")</f>
        <v>Misc. Iron Scrap, Lying at OL Fazilka. Quantity in MT - </v>
      </c>
      <c r="H339" s="261" t="str">
        <f ca="1">CONCATENATE(G339,G340,(INDIRECT(I340)),(INDIRECT(J340)),(INDIRECT(K340)),(INDIRECT(L340)),(INDIRECT(M340)),(INDIRECT(N340)),(INDIRECT(O340)),(INDIRECT(P340)),(INDIRECT(Q340)),(INDIRECT(R340)),".")</f>
        <v>Misc. Iron Scrap, Lying at OL Fazilka. Quantity in MT - MS iron scrap - 1.61, Teen Patra scrap - 0.17, .</v>
      </c>
      <c r="I339" s="138" t="str">
        <f aca="true" ca="1" t="array" ref="I339">CELL("address",INDEX(G339:G347,MATCH(TRUE,ISBLANK(G339:G347),0)))</f>
        <v>$G$342</v>
      </c>
      <c r="J339" s="138">
        <f aca="true" t="array" ref="J339">MATCH(TRUE,ISBLANK(G339:G347),0)</f>
        <v>4</v>
      </c>
      <c r="K339" s="138">
        <f>J339-3</f>
        <v>1</v>
      </c>
      <c r="L339" s="138"/>
      <c r="M339" s="138"/>
      <c r="N339" s="138"/>
      <c r="O339" s="138"/>
      <c r="P339" s="138"/>
      <c r="Q339" s="138"/>
      <c r="R339" s="138"/>
    </row>
    <row r="340" spans="1:18" ht="15" customHeight="1">
      <c r="A340" s="244" t="s">
        <v>68</v>
      </c>
      <c r="B340" s="245"/>
      <c r="C340" s="250" t="s">
        <v>114</v>
      </c>
      <c r="D340" s="48" t="s">
        <v>29</v>
      </c>
      <c r="E340" s="71">
        <v>1.61</v>
      </c>
      <c r="G340" s="129" t="str">
        <f>CONCATENATE(D340," - ",E340,", ")</f>
        <v>MS iron scrap - 1.61, </v>
      </c>
      <c r="H340" s="261"/>
      <c r="I340" s="138" t="str">
        <f ca="1">IF(J339&gt;=3,(MID(I339,2,1)&amp;MID(I339,4,3)-K339),CELL("address",Z340))</f>
        <v>G341</v>
      </c>
      <c r="J340" s="138" t="str">
        <f ca="1">IF(J339&gt;=4,(MID(I340,1,1)&amp;MID(I340,2,3)+1),CELL("address",AA340))</f>
        <v>G342</v>
      </c>
      <c r="K340" s="138" t="str">
        <f ca="1">IF(J339&gt;=5,(MID(J340,1,1)&amp;MID(J340,2,3)+1),CELL("address",AB340))</f>
        <v>$AB$340</v>
      </c>
      <c r="L340" s="138" t="str">
        <f ca="1">IF(J339&gt;=6,(MID(K340,1,1)&amp;MID(K340,2,3)+1),CELL("address",AC340))</f>
        <v>$AC$340</v>
      </c>
      <c r="M340" s="138" t="str">
        <f ca="1">IF(J339&gt;=7,(MID(L340,1,1)&amp;MID(L340,2,3)+1),CELL("address",AD340))</f>
        <v>$AD$340</v>
      </c>
      <c r="N340" s="138" t="str">
        <f ca="1">IF(J339&gt;=8,(MID(M340,1,1)&amp;MID(M340,2,3)+1),CELL("address",AE340))</f>
        <v>$AE$340</v>
      </c>
      <c r="O340" s="138" t="str">
        <f ca="1">IF(J339&gt;=9,(MID(N340,1,1)&amp;MID(N340,2,3)+1),CELL("address",AF340))</f>
        <v>$AF$340</v>
      </c>
      <c r="P340" s="138" t="str">
        <f ca="1">IF(J339&gt;=10,(MID(O340,1,1)&amp;MID(O340,2,3)+1),CELL("address",AG340))</f>
        <v>$AG$340</v>
      </c>
      <c r="Q340" s="138" t="str">
        <f ca="1">IF(J339&gt;=11,(MID(P340,1,1)&amp;MID(P340,2,3)+1),CELL("address",AH340))</f>
        <v>$AH$340</v>
      </c>
      <c r="R340" s="138" t="str">
        <f ca="1">IF(J339&gt;=12,(MID(Q340,1,1)&amp;MID(Q340,2,3)+1),CELL("address",AI340))</f>
        <v>$AI$340</v>
      </c>
    </row>
    <row r="341" spans="1:24" ht="15" customHeight="1">
      <c r="A341" s="246"/>
      <c r="B341" s="247"/>
      <c r="C341" s="251"/>
      <c r="D341" s="105" t="s">
        <v>65</v>
      </c>
      <c r="E341" s="71">
        <v>0.17</v>
      </c>
      <c r="G341" s="129" t="str">
        <f>CONCATENATE(D341," - ",E341,", ")</f>
        <v>Teen Patra scrap - 0.17, </v>
      </c>
      <c r="H341" s="149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T341" s="314"/>
      <c r="U341" s="314"/>
      <c r="V341" s="314"/>
      <c r="W341" s="314"/>
      <c r="X341" s="314"/>
    </row>
    <row r="342" spans="1:24" ht="15" customHeight="1">
      <c r="A342" s="232"/>
      <c r="B342" s="233"/>
      <c r="C342" s="184"/>
      <c r="D342" s="46"/>
      <c r="E342" s="71"/>
      <c r="G342" s="129"/>
      <c r="H342" s="143"/>
      <c r="T342" s="315"/>
      <c r="U342" s="315"/>
      <c r="V342" s="315"/>
      <c r="W342" s="315"/>
      <c r="X342" s="315"/>
    </row>
    <row r="343" spans="1:8" ht="15" customHeight="1">
      <c r="A343" s="238"/>
      <c r="B343" s="239"/>
      <c r="C343" s="46"/>
      <c r="D343" s="64"/>
      <c r="E343" s="63">
        <f>SUM(E345:E345)</f>
        <v>100</v>
      </c>
      <c r="G343" s="129"/>
      <c r="H343" s="142"/>
    </row>
    <row r="344" spans="1:18" ht="15" customHeight="1">
      <c r="A344" s="231" t="s">
        <v>5</v>
      </c>
      <c r="B344" s="231"/>
      <c r="C344" s="46" t="s">
        <v>17</v>
      </c>
      <c r="D344" s="184" t="s">
        <v>18</v>
      </c>
      <c r="E344" s="46" t="s">
        <v>7</v>
      </c>
      <c r="G344" s="131" t="str">
        <f>CONCATENATE("Misc. Iron Scrap, Lying at ",C345,". Quantity in MT - ")</f>
        <v>Misc. Iron Scrap, Lying at S &amp; T Store Bathinda. Quantity in MT - </v>
      </c>
      <c r="H344" s="261" t="str">
        <f ca="1">CONCATENATE(G344,G345,(INDIRECT(I345)),(INDIRECT(J345)),(INDIRECT(K345)),(INDIRECT(L345)),(INDIRECT(M345)),(INDIRECT(N345)),(INDIRECT(O345)),(INDIRECT(P345)),(INDIRECT(Q345)),(INDIRECT(R345)),".")</f>
        <v>Misc. Iron Scrap, Lying at S &amp; T Store Bathinda. Quantity in MT - MS Rail scrap - 100, .</v>
      </c>
      <c r="I344" s="138" t="str">
        <f aca="true" ca="1" t="array" ref="I344">CELL("address",INDEX(G344:G351,MATCH(TRUE,ISBLANK(G344:G351),0)))</f>
        <v>$G$346</v>
      </c>
      <c r="J344" s="138">
        <f aca="true" t="array" ref="J344">MATCH(TRUE,ISBLANK(G344:G351),0)</f>
        <v>3</v>
      </c>
      <c r="K344" s="138">
        <f>J344-3</f>
        <v>0</v>
      </c>
      <c r="L344" s="138"/>
      <c r="M344" s="138"/>
      <c r="N344" s="138"/>
      <c r="O344" s="138"/>
      <c r="P344" s="138"/>
      <c r="Q344" s="138"/>
      <c r="R344" s="138"/>
    </row>
    <row r="345" spans="1:18" ht="15" customHeight="1">
      <c r="A345" s="231" t="s">
        <v>69</v>
      </c>
      <c r="B345" s="231"/>
      <c r="C345" s="184" t="s">
        <v>58</v>
      </c>
      <c r="D345" s="46" t="s">
        <v>62</v>
      </c>
      <c r="E345" s="52">
        <v>100</v>
      </c>
      <c r="G345" s="129" t="str">
        <f>CONCATENATE(D345," - ",E345,", ")</f>
        <v>MS Rail scrap - 100, </v>
      </c>
      <c r="H345" s="261"/>
      <c r="I345" s="138" t="str">
        <f ca="1">IF(J344&gt;=3,(MID(I344,2,1)&amp;MID(I344,4,3)-K344),CELL("address",Z345))</f>
        <v>G346</v>
      </c>
      <c r="J345" s="138" t="str">
        <f ca="1">IF(J344&gt;=4,(MID(I345,1,1)&amp;MID(I345,2,3)+1),CELL("address",AA345))</f>
        <v>$AA$345</v>
      </c>
      <c r="K345" s="138" t="str">
        <f ca="1">IF(J344&gt;=5,(MID(J345,1,1)&amp;MID(J345,2,3)+1),CELL("address",AB345))</f>
        <v>$AB$345</v>
      </c>
      <c r="L345" s="138" t="str">
        <f ca="1">IF(J344&gt;=6,(MID(K345,1,1)&amp;MID(K345,2,3)+1),CELL("address",AC345))</f>
        <v>$AC$345</v>
      </c>
      <c r="M345" s="138" t="str">
        <f ca="1">IF(J344&gt;=7,(MID(L345,1,1)&amp;MID(L345,2,3)+1),CELL("address",AD345))</f>
        <v>$AD$345</v>
      </c>
      <c r="N345" s="138" t="str">
        <f ca="1">IF(J344&gt;=8,(MID(M345,1,1)&amp;MID(M345,2,3)+1),CELL("address",AE345))</f>
        <v>$AE$345</v>
      </c>
      <c r="O345" s="138" t="str">
        <f ca="1">IF(J344&gt;=9,(MID(N345,1,1)&amp;MID(N345,2,3)+1),CELL("address",AF345))</f>
        <v>$AF$345</v>
      </c>
      <c r="P345" s="138" t="str">
        <f ca="1">IF(J344&gt;=10,(MID(O345,1,1)&amp;MID(O345,2,3)+1),CELL("address",AG345))</f>
        <v>$AG$345</v>
      </c>
      <c r="Q345" s="138" t="str">
        <f ca="1">IF(J344&gt;=11,(MID(P345,1,1)&amp;MID(P345,2,3)+1),CELL("address",AH345))</f>
        <v>$AH$345</v>
      </c>
      <c r="R345" s="138" t="str">
        <f ca="1">IF(J344&gt;=12,(MID(Q345,1,1)&amp;MID(Q345,2,3)+1),CELL("address",AI345))</f>
        <v>$AI$345</v>
      </c>
    </row>
    <row r="346" spans="1:8" ht="15" customHeight="1">
      <c r="A346" s="45"/>
      <c r="B346" s="47"/>
      <c r="C346" s="54"/>
      <c r="D346" s="47"/>
      <c r="E346" s="71"/>
      <c r="G346" s="129"/>
      <c r="H346" s="143"/>
    </row>
    <row r="347" spans="1:8" ht="15" customHeight="1">
      <c r="A347" s="60"/>
      <c r="B347" s="61"/>
      <c r="C347" s="61"/>
      <c r="D347" s="64"/>
      <c r="E347" s="59">
        <f>SUM(E349:E353)</f>
        <v>6.585</v>
      </c>
      <c r="G347" s="129"/>
      <c r="H347" s="142"/>
    </row>
    <row r="348" spans="1:18" ht="15" customHeight="1">
      <c r="A348" s="231" t="s">
        <v>5</v>
      </c>
      <c r="B348" s="231"/>
      <c r="C348" s="46" t="s">
        <v>17</v>
      </c>
      <c r="D348" s="184" t="s">
        <v>18</v>
      </c>
      <c r="E348" s="46" t="s">
        <v>7</v>
      </c>
      <c r="G348" s="131" t="str">
        <f>CONCATENATE("Misc. Iron Scrap, Lying at ",C349,". Quantity in MT - ")</f>
        <v>Misc. Iron Scrap, Lying at CS Kotkapura. Quantity in MT - </v>
      </c>
      <c r="H348" s="261" t="str">
        <f ca="1">CONCATENATE(G348,G349,(INDIRECT(I349)),(INDIRECT(J349)),(INDIRECT(K349)),(INDIRECT(L349)),(INDIRECT(M349)),(INDIRECT(N349)),(INDIRECT(O349)),(INDIRECT(P349)),(INDIRECT(Q349)),(INDIRECT(R349)),".")</f>
        <v>Misc. Iron Scrap, Lying at CS Kotkapura. Quantity in MT - MS iron scrap - 3.223, Transformer body scrap - 2.479, Teen Patra scrap - 0.825, G.I. Scrap - 0.038, M.S. Nuts &amp; Bolts Scrap - 0.02, .</v>
      </c>
      <c r="I348" s="138" t="str">
        <f aca="true" ca="1" t="array" ref="I348">CELL("address",INDEX(G348:G356,MATCH(TRUE,ISBLANK(G348:G356),0)))</f>
        <v>$G$354</v>
      </c>
      <c r="J348" s="138">
        <f aca="true" t="array" ref="J348">MATCH(TRUE,ISBLANK(G348:G356),0)</f>
        <v>7</v>
      </c>
      <c r="K348" s="138">
        <f>J348-3</f>
        <v>4</v>
      </c>
      <c r="L348" s="138"/>
      <c r="M348" s="138"/>
      <c r="N348" s="138"/>
      <c r="O348" s="138"/>
      <c r="P348" s="138"/>
      <c r="Q348" s="138"/>
      <c r="R348" s="138"/>
    </row>
    <row r="349" spans="1:18" ht="15" customHeight="1">
      <c r="A349" s="231" t="s">
        <v>176</v>
      </c>
      <c r="B349" s="231"/>
      <c r="C349" s="237" t="s">
        <v>43</v>
      </c>
      <c r="D349" s="48" t="s">
        <v>29</v>
      </c>
      <c r="E349" s="69">
        <v>3.223</v>
      </c>
      <c r="G349" s="129" t="str">
        <f>CONCATENATE(D349," - ",E349,", ")</f>
        <v>MS iron scrap - 3.223, </v>
      </c>
      <c r="H349" s="261"/>
      <c r="I349" s="138" t="str">
        <f ca="1">IF(J348&gt;=3,(MID(I348,2,1)&amp;MID(I348,4,3)-K348),CELL("address",Z349))</f>
        <v>G350</v>
      </c>
      <c r="J349" s="138" t="str">
        <f ca="1">IF(J348&gt;=4,(MID(I349,1,1)&amp;MID(I349,2,3)+1),CELL("address",AA349))</f>
        <v>G351</v>
      </c>
      <c r="K349" s="138" t="str">
        <f ca="1">IF(J348&gt;=5,(MID(J349,1,1)&amp;MID(J349,2,3)+1),CELL("address",AB349))</f>
        <v>G352</v>
      </c>
      <c r="L349" s="138" t="str">
        <f ca="1">IF(J348&gt;=6,(MID(K349,1,1)&amp;MID(K349,2,3)+1),CELL("address",AC349))</f>
        <v>G353</v>
      </c>
      <c r="M349" s="138" t="str">
        <f ca="1">IF(J348&gt;=7,(MID(L349,1,1)&amp;MID(L349,2,3)+1),CELL("address",AD349))</f>
        <v>G354</v>
      </c>
      <c r="N349" s="138" t="str">
        <f ca="1">IF(J348&gt;=8,(MID(M349,1,1)&amp;MID(M349,2,3)+1),CELL("address",AE349))</f>
        <v>$AE$349</v>
      </c>
      <c r="O349" s="138" t="str">
        <f ca="1">IF(J348&gt;=9,(MID(N349,1,1)&amp;MID(N349,2,3)+1),CELL("address",AF349))</f>
        <v>$AF$349</v>
      </c>
      <c r="P349" s="138" t="str">
        <f ca="1">IF(J348&gt;=10,(MID(O349,1,1)&amp;MID(O349,2,3)+1),CELL("address",AG349))</f>
        <v>$AG$349</v>
      </c>
      <c r="Q349" s="138" t="str">
        <f ca="1">IF(J348&gt;=11,(MID(P349,1,1)&amp;MID(P349,2,3)+1),CELL("address",AH349))</f>
        <v>$AH$349</v>
      </c>
      <c r="R349" s="138" t="str">
        <f ca="1">IF(J348&gt;=12,(MID(Q349,1,1)&amp;MID(Q349,2,3)+1),CELL("address",AI349))</f>
        <v>$AI$349</v>
      </c>
    </row>
    <row r="350" spans="1:8" ht="15" customHeight="1">
      <c r="A350" s="231"/>
      <c r="B350" s="231"/>
      <c r="C350" s="237"/>
      <c r="D350" s="105" t="s">
        <v>61</v>
      </c>
      <c r="E350" s="69">
        <v>2.479</v>
      </c>
      <c r="G350" s="129" t="str">
        <f>CONCATENATE(D350," - ",E350,", ")</f>
        <v>Transformer body scrap - 2.479, </v>
      </c>
      <c r="H350" s="142"/>
    </row>
    <row r="351" spans="1:8" ht="15" customHeight="1">
      <c r="A351" s="231"/>
      <c r="B351" s="231"/>
      <c r="C351" s="237"/>
      <c r="D351" s="105" t="s">
        <v>65</v>
      </c>
      <c r="E351" s="69">
        <v>0.825</v>
      </c>
      <c r="G351" s="129" t="str">
        <f>CONCATENATE(D351," - ",E351,", ")</f>
        <v>Teen Patra scrap - 0.825, </v>
      </c>
      <c r="H351" s="142"/>
    </row>
    <row r="352" spans="1:8" ht="15" customHeight="1">
      <c r="A352" s="231"/>
      <c r="B352" s="231"/>
      <c r="C352" s="237"/>
      <c r="D352" s="105" t="s">
        <v>195</v>
      </c>
      <c r="E352" s="71">
        <v>0.038</v>
      </c>
      <c r="G352" s="129" t="str">
        <f>CONCATENATE(D352," - ",E352,", ")</f>
        <v>G.I. Scrap - 0.038, </v>
      </c>
      <c r="H352" s="142"/>
    </row>
    <row r="353" spans="1:8" ht="15" customHeight="1">
      <c r="A353" s="231"/>
      <c r="B353" s="231"/>
      <c r="C353" s="237"/>
      <c r="D353" s="105" t="s">
        <v>196</v>
      </c>
      <c r="E353" s="71">
        <v>0.02</v>
      </c>
      <c r="G353" s="129" t="str">
        <f>CONCATENATE(D353," - ",E353,", ")</f>
        <v>M.S. Nuts &amp; Bolts Scrap - 0.02, </v>
      </c>
      <c r="H353" s="142"/>
    </row>
    <row r="354" spans="1:8" ht="15" customHeight="1">
      <c r="A354" s="45"/>
      <c r="B354" s="47"/>
      <c r="C354" s="54"/>
      <c r="D354" s="75"/>
      <c r="E354" s="73"/>
      <c r="G354" s="129"/>
      <c r="H354" s="142"/>
    </row>
    <row r="355" spans="1:8" ht="15" customHeight="1">
      <c r="A355" s="60"/>
      <c r="B355" s="61"/>
      <c r="C355" s="61"/>
      <c r="D355" s="64"/>
      <c r="E355" s="59">
        <f>SUM(E357:E361)</f>
        <v>8.213</v>
      </c>
      <c r="G355" s="129"/>
      <c r="H355" s="142"/>
    </row>
    <row r="356" spans="1:18" ht="15" customHeight="1">
      <c r="A356" s="231" t="s">
        <v>5</v>
      </c>
      <c r="B356" s="231"/>
      <c r="C356" s="46" t="s">
        <v>17</v>
      </c>
      <c r="D356" s="184" t="s">
        <v>18</v>
      </c>
      <c r="E356" s="46" t="s">
        <v>7</v>
      </c>
      <c r="G356" s="131" t="str">
        <f>CONCATENATE("Misc. Iron Scrap, Lying at ",C357,". Quantity in MT - ")</f>
        <v>Misc. Iron Scrap, Lying at CS Mohali. Quantity in MT - </v>
      </c>
      <c r="H356" s="261" t="str">
        <f ca="1">CONCATENATE(G356,G357,(INDIRECT(I357)),(INDIRECT(J357)),(INDIRECT(K357)),(INDIRECT(L357)),(INDIRECT(M357)),(INDIRECT(N357)),(INDIRECT(O357)),(INDIRECT(P357)),(INDIRECT(Q357)),(INDIRECT(R357)),".")</f>
        <v>Misc. Iron Scrap, Lying at CS Mohali. Quantity in MT - MS iron scrap - 6.294, Transformer body scrap - 1.364, G.I. scrap - 0.292, MS Rail scrap - 0.08, Teen Patra scrap - 0.183, .</v>
      </c>
      <c r="I356" s="138" t="str">
        <f aca="true" ca="1" t="array" ref="I356">CELL("address",INDEX(G356:G370,MATCH(TRUE,ISBLANK(G356:G370),0)))</f>
        <v>$G$362</v>
      </c>
      <c r="J356" s="138">
        <f aca="true" t="array" ref="J356">MATCH(TRUE,ISBLANK(G356:G370),0)</f>
        <v>7</v>
      </c>
      <c r="K356" s="138">
        <f>J356-3</f>
        <v>4</v>
      </c>
      <c r="L356" s="138"/>
      <c r="M356" s="138"/>
      <c r="N356" s="138"/>
      <c r="O356" s="138"/>
      <c r="P356" s="138"/>
      <c r="Q356" s="138"/>
      <c r="R356" s="138"/>
    </row>
    <row r="357" spans="1:18" ht="15" customHeight="1">
      <c r="A357" s="231" t="s">
        <v>121</v>
      </c>
      <c r="B357" s="231"/>
      <c r="C357" s="237" t="s">
        <v>63</v>
      </c>
      <c r="D357" s="48" t="s">
        <v>29</v>
      </c>
      <c r="E357" s="52">
        <v>6.294</v>
      </c>
      <c r="G357" s="129" t="str">
        <f>CONCATENATE(D357," - ",E357,", ")</f>
        <v>MS iron scrap - 6.294, </v>
      </c>
      <c r="H357" s="261"/>
      <c r="I357" s="138" t="str">
        <f ca="1">IF(J356&gt;=3,(MID(I356,2,1)&amp;MID(I356,4,3)-K356),CELL("address",Z357))</f>
        <v>G358</v>
      </c>
      <c r="J357" s="138" t="str">
        <f ca="1">IF(J356&gt;=4,(MID(I357,1,1)&amp;MID(I357,2,3)+1),CELL("address",AA357))</f>
        <v>G359</v>
      </c>
      <c r="K357" s="138" t="str">
        <f ca="1">IF(J356&gt;=5,(MID(J357,1,1)&amp;MID(J357,2,3)+1),CELL("address",AB357))</f>
        <v>G360</v>
      </c>
      <c r="L357" s="138" t="str">
        <f ca="1">IF(J356&gt;=6,(MID(K357,1,1)&amp;MID(K357,2,3)+1),CELL("address",AC357))</f>
        <v>G361</v>
      </c>
      <c r="M357" s="138" t="str">
        <f ca="1">IF(J356&gt;=7,(MID(L357,1,1)&amp;MID(L357,2,3)+1),CELL("address",AD357))</f>
        <v>G362</v>
      </c>
      <c r="N357" s="138" t="str">
        <f ca="1">IF(J356&gt;=8,(MID(M357,1,1)&amp;MID(M357,2,3)+1),CELL("address",AE357))</f>
        <v>$AE$357</v>
      </c>
      <c r="O357" s="138" t="str">
        <f ca="1">IF(J356&gt;=9,(MID(N357,1,1)&amp;MID(N357,2,3)+1),CELL("address",AF357))</f>
        <v>$AF$357</v>
      </c>
      <c r="P357" s="138" t="str">
        <f ca="1">IF(J356&gt;=10,(MID(O357,1,1)&amp;MID(O357,2,3)+1),CELL("address",AG357))</f>
        <v>$AG$357</v>
      </c>
      <c r="Q357" s="138" t="str">
        <f ca="1">IF(J356&gt;=11,(MID(P357,1,1)&amp;MID(P357,2,3)+1),CELL("address",AH357))</f>
        <v>$AH$357</v>
      </c>
      <c r="R357" s="138" t="str">
        <f ca="1">IF(J356&gt;=12,(MID(Q357,1,1)&amp;MID(Q357,2,3)+1),CELL("address",AI357))</f>
        <v>$AI$357</v>
      </c>
    </row>
    <row r="358" spans="1:8" ht="15" customHeight="1">
      <c r="A358" s="231"/>
      <c r="B358" s="231"/>
      <c r="C358" s="237"/>
      <c r="D358" s="105" t="s">
        <v>61</v>
      </c>
      <c r="E358" s="52">
        <v>1.364</v>
      </c>
      <c r="G358" s="129" t="str">
        <f>CONCATENATE(D358," - ",E358,", ")</f>
        <v>Transformer body scrap - 1.364, </v>
      </c>
      <c r="H358" s="142"/>
    </row>
    <row r="359" spans="1:8" ht="15" customHeight="1">
      <c r="A359" s="231"/>
      <c r="B359" s="231"/>
      <c r="C359" s="237"/>
      <c r="D359" s="105" t="s">
        <v>190</v>
      </c>
      <c r="E359" s="52">
        <v>0.292</v>
      </c>
      <c r="G359" s="129" t="str">
        <f>CONCATENATE(D359," - ",E359,", ")</f>
        <v>G.I. scrap - 0.292, </v>
      </c>
      <c r="H359" s="142"/>
    </row>
    <row r="360" spans="1:8" ht="15" customHeight="1">
      <c r="A360" s="231"/>
      <c r="B360" s="231"/>
      <c r="C360" s="237"/>
      <c r="D360" s="48" t="s">
        <v>62</v>
      </c>
      <c r="E360" s="71">
        <v>0.08</v>
      </c>
      <c r="G360" s="129" t="str">
        <f>CONCATENATE(D360," - ",E360,", ")</f>
        <v>MS Rail scrap - 0.08, </v>
      </c>
      <c r="H360" s="142"/>
    </row>
    <row r="361" spans="1:8" ht="15" customHeight="1">
      <c r="A361" s="231"/>
      <c r="B361" s="231"/>
      <c r="C361" s="237"/>
      <c r="D361" s="51" t="s">
        <v>65</v>
      </c>
      <c r="E361" s="71">
        <v>0.183</v>
      </c>
      <c r="G361" s="129" t="str">
        <f>CONCATENATE(D361," - ",E361,", ")</f>
        <v>Teen Patra scrap - 0.183, </v>
      </c>
      <c r="H361" s="142"/>
    </row>
    <row r="362" spans="1:8" ht="15" customHeight="1">
      <c r="A362" s="45"/>
      <c r="B362" s="47"/>
      <c r="C362" s="54"/>
      <c r="D362" s="44"/>
      <c r="E362" s="73"/>
      <c r="G362" s="129"/>
      <c r="H362" s="142"/>
    </row>
    <row r="363" spans="1:8" ht="15" customHeight="1">
      <c r="A363" s="60"/>
      <c r="B363" s="61"/>
      <c r="C363" s="61"/>
      <c r="D363" s="64"/>
      <c r="E363" s="59">
        <f>SUM(E365:E369)</f>
        <v>9.57</v>
      </c>
      <c r="G363" s="129"/>
      <c r="H363" s="142"/>
    </row>
    <row r="364" spans="1:18" ht="15" customHeight="1">
      <c r="A364" s="231" t="s">
        <v>5</v>
      </c>
      <c r="B364" s="231"/>
      <c r="C364" s="46" t="s">
        <v>17</v>
      </c>
      <c r="D364" s="184" t="s">
        <v>18</v>
      </c>
      <c r="E364" s="46" t="s">
        <v>7</v>
      </c>
      <c r="G364" s="131" t="str">
        <f>CONCATENATE("Misc. Iron Scrap, Lying at ",C365,". Quantity in MT - ")</f>
        <v>Misc. Iron Scrap, Lying at CS Malout. Quantity in MT - </v>
      </c>
      <c r="H364" s="261" t="str">
        <f ca="1">CONCATENATE(G364,G365,(INDIRECT(I365)),(INDIRECT(J365)),(INDIRECT(K365)),(INDIRECT(L365)),(INDIRECT(M365)),(INDIRECT(N365)),(INDIRECT(O365)),(INDIRECT(P365)),(INDIRECT(Q365)),(INDIRECT(R365)),".")</f>
        <v>Misc. Iron Scrap, Lying at CS Malout. Quantity in MT - MS iron scrap - 9.092, MS Angle/ Channel Scrap - 0.01, G.I. scrap - 0.248, GI wire /GSL scrap - 0.205, MS Nuts &amp; bolts scrap - 0.015, .</v>
      </c>
      <c r="I364" s="138" t="str">
        <f aca="true" ca="1" t="array" ref="I364">CELL("address",INDEX(G364:G370,MATCH(TRUE,ISBLANK(G364:G370),0)))</f>
        <v>$G$370</v>
      </c>
      <c r="J364" s="138">
        <f aca="true" t="array" ref="J364">MATCH(TRUE,ISBLANK(G364:G370),0)</f>
        <v>7</v>
      </c>
      <c r="K364" s="138">
        <f>J364-3</f>
        <v>4</v>
      </c>
      <c r="L364" s="138"/>
      <c r="M364" s="138"/>
      <c r="N364" s="138"/>
      <c r="O364" s="138"/>
      <c r="P364" s="138"/>
      <c r="Q364" s="138"/>
      <c r="R364" s="138"/>
    </row>
    <row r="365" spans="1:18" ht="15" customHeight="1">
      <c r="A365" s="231" t="s">
        <v>197</v>
      </c>
      <c r="B365" s="231"/>
      <c r="C365" s="237" t="s">
        <v>96</v>
      </c>
      <c r="D365" s="46" t="s">
        <v>29</v>
      </c>
      <c r="E365" s="69">
        <v>9.092</v>
      </c>
      <c r="G365" s="129" t="str">
        <f>CONCATENATE(D365," - ",E365,", ")</f>
        <v>MS iron scrap - 9.092, </v>
      </c>
      <c r="H365" s="261"/>
      <c r="I365" s="138" t="str">
        <f ca="1">IF(J364&gt;=3,(MID(I364,2,1)&amp;MID(I364,4,3)-K364),CELL("address",Z365))</f>
        <v>G366</v>
      </c>
      <c r="J365" s="138" t="str">
        <f ca="1">IF(J364&gt;=4,(MID(I365,1,1)&amp;MID(I365,2,3)+1),CELL("address",AA365))</f>
        <v>G367</v>
      </c>
      <c r="K365" s="138" t="str">
        <f ca="1">IF(J364&gt;=5,(MID(J365,1,1)&amp;MID(J365,2,3)+1),CELL("address",AB365))</f>
        <v>G368</v>
      </c>
      <c r="L365" s="138" t="str">
        <f ca="1">IF(J364&gt;=6,(MID(K365,1,1)&amp;MID(K365,2,3)+1),CELL("address",AC365))</f>
        <v>G369</v>
      </c>
      <c r="M365" s="138" t="str">
        <f ca="1">IF(J364&gt;=7,(MID(L365,1,1)&amp;MID(L365,2,3)+1),CELL("address",AD365))</f>
        <v>G370</v>
      </c>
      <c r="N365" s="138" t="str">
        <f ca="1">IF(J364&gt;=8,(MID(M365,1,1)&amp;MID(M365,2,3)+1),CELL("address",AE365))</f>
        <v>$AE$365</v>
      </c>
      <c r="O365" s="138" t="str">
        <f ca="1">IF(J364&gt;=9,(MID(N365,1,1)&amp;MID(N365,2,3)+1),CELL("address",AF365))</f>
        <v>$AF$365</v>
      </c>
      <c r="P365" s="138" t="str">
        <f ca="1">IF(J364&gt;=10,(MID(O365,1,1)&amp;MID(O365,2,3)+1),CELL("address",AG365))</f>
        <v>$AG$365</v>
      </c>
      <c r="Q365" s="138" t="str">
        <f ca="1">IF(J364&gt;=11,(MID(P365,1,1)&amp;MID(P365,2,3)+1),CELL("address",AH365))</f>
        <v>$AH$365</v>
      </c>
      <c r="R365" s="138" t="str">
        <f ca="1">IF(J364&gt;=12,(MID(Q365,1,1)&amp;MID(Q365,2,3)+1),CELL("address",AI365))</f>
        <v>$AI$365</v>
      </c>
    </row>
    <row r="366" spans="1:8" ht="15" customHeight="1">
      <c r="A366" s="231"/>
      <c r="B366" s="231"/>
      <c r="C366" s="237"/>
      <c r="D366" s="74" t="s">
        <v>206</v>
      </c>
      <c r="E366" s="69">
        <v>0.01</v>
      </c>
      <c r="G366" s="129" t="str">
        <f>CONCATENATE(D366," - ",E366,", ")</f>
        <v>MS Angle/ Channel Scrap - 0.01, </v>
      </c>
      <c r="H366" s="142"/>
    </row>
    <row r="367" spans="1:8" ht="15" customHeight="1">
      <c r="A367" s="231"/>
      <c r="B367" s="231"/>
      <c r="C367" s="237"/>
      <c r="D367" s="74" t="s">
        <v>190</v>
      </c>
      <c r="E367" s="71">
        <v>0.248</v>
      </c>
      <c r="G367" s="129" t="str">
        <f>CONCATENATE(D367," - ",E367,", ")</f>
        <v>G.I. scrap - 0.248, </v>
      </c>
      <c r="H367" s="142"/>
    </row>
    <row r="368" spans="1:23" ht="15" customHeight="1">
      <c r="A368" s="231"/>
      <c r="B368" s="231"/>
      <c r="C368" s="237"/>
      <c r="D368" s="46" t="s">
        <v>221</v>
      </c>
      <c r="E368" s="71">
        <v>0.205</v>
      </c>
      <c r="G368" s="129" t="str">
        <f>CONCATENATE(D368," - ",E368,", ")</f>
        <v>GI wire /GSL scrap - 0.205, </v>
      </c>
      <c r="H368" s="142"/>
      <c r="S368" s="313"/>
      <c r="T368" s="313"/>
      <c r="U368" s="313"/>
      <c r="V368" s="313"/>
      <c r="W368" s="313"/>
    </row>
    <row r="369" spans="1:8" ht="15" customHeight="1">
      <c r="A369" s="231"/>
      <c r="B369" s="231"/>
      <c r="C369" s="237"/>
      <c r="D369" s="199" t="s">
        <v>333</v>
      </c>
      <c r="E369" s="71">
        <v>0.015</v>
      </c>
      <c r="G369" s="129" t="str">
        <f>CONCATENATE(D369," - ",E369,", ")</f>
        <v>MS Nuts &amp; bolts scrap - 0.015, </v>
      </c>
      <c r="H369" s="142"/>
    </row>
    <row r="370" spans="1:8" ht="15" customHeight="1">
      <c r="A370" s="45"/>
      <c r="B370" s="47"/>
      <c r="C370" s="54"/>
      <c r="D370" s="111"/>
      <c r="E370" s="73"/>
      <c r="G370" s="129"/>
      <c r="H370" s="142"/>
    </row>
    <row r="371" spans="1:8" ht="15" customHeight="1">
      <c r="A371" s="60"/>
      <c r="B371" s="61"/>
      <c r="C371" s="61"/>
      <c r="D371" s="64"/>
      <c r="E371" s="59">
        <f>SUM(E373:E374)</f>
        <v>15.134999999999998</v>
      </c>
      <c r="G371" s="129"/>
      <c r="H371" s="142"/>
    </row>
    <row r="372" spans="1:18" ht="15" customHeight="1">
      <c r="A372" s="253" t="s">
        <v>5</v>
      </c>
      <c r="B372" s="253"/>
      <c r="C372" s="27" t="s">
        <v>17</v>
      </c>
      <c r="D372" s="90" t="s">
        <v>18</v>
      </c>
      <c r="E372" s="27" t="s">
        <v>7</v>
      </c>
      <c r="G372" s="131" t="str">
        <f>CONCATENATE("Misc. Iron Scrap, Lying at ",C373,". Quantity in MT - ")</f>
        <v>Misc. Iron Scrap, Lying at OL Moga. Quantity in MT - </v>
      </c>
      <c r="H372" s="261" t="str">
        <f ca="1">CONCATENATE(G372,G373,(INDIRECT(I373)),(INDIRECT(J373)),(INDIRECT(K373)),(INDIRECT(L373)),(INDIRECT(M373)),(INDIRECT(N373)),(INDIRECT(O373)),(INDIRECT(P373)),(INDIRECT(Q373)),(INDIRECT(R373)),".")</f>
        <v>Misc. Iron Scrap, Lying at OL Moga. Quantity in MT - MS iron scrap - 8.79, Transformer body scrap - 6.345, .</v>
      </c>
      <c r="I372" s="138" t="str">
        <f aca="true" ca="1" t="array" ref="I372">CELL("address",INDEX(G372:G398,MATCH(TRUE,ISBLANK(G372:G398),0)))</f>
        <v>$G$375</v>
      </c>
      <c r="J372" s="138">
        <f aca="true" t="array" ref="J372">MATCH(TRUE,ISBLANK(G372:G398),0)</f>
        <v>4</v>
      </c>
      <c r="K372" s="138">
        <f>J372-3</f>
        <v>1</v>
      </c>
      <c r="L372" s="138"/>
      <c r="M372" s="138"/>
      <c r="N372" s="138"/>
      <c r="O372" s="138"/>
      <c r="P372" s="138"/>
      <c r="Q372" s="138"/>
      <c r="R372" s="138"/>
    </row>
    <row r="373" spans="1:18" ht="15" customHeight="1">
      <c r="A373" s="231" t="s">
        <v>205</v>
      </c>
      <c r="B373" s="231"/>
      <c r="C373" s="237" t="s">
        <v>276</v>
      </c>
      <c r="D373" s="48" t="s">
        <v>29</v>
      </c>
      <c r="E373" s="52">
        <v>8.79</v>
      </c>
      <c r="G373" s="129" t="str">
        <f>CONCATENATE(D373," - ",E373,", ")</f>
        <v>MS iron scrap - 8.79, </v>
      </c>
      <c r="H373" s="261"/>
      <c r="I373" s="138" t="str">
        <f ca="1">IF(J372&gt;=3,(MID(I372,2,1)&amp;MID(I372,4,3)-K372),CELL("address",Z373))</f>
        <v>G374</v>
      </c>
      <c r="J373" s="138" t="str">
        <f ca="1">IF(J372&gt;=4,(MID(I373,1,1)&amp;MID(I373,2,3)+1),CELL("address",AA373))</f>
        <v>G375</v>
      </c>
      <c r="K373" s="138" t="str">
        <f ca="1">IF(J372&gt;=5,(MID(J373,1,1)&amp;MID(J373,2,3)+1),CELL("address",AB373))</f>
        <v>$AB$373</v>
      </c>
      <c r="L373" s="138" t="str">
        <f ca="1">IF(J372&gt;=6,(MID(K373,1,1)&amp;MID(K373,2,3)+1),CELL("address",AC373))</f>
        <v>$AC$373</v>
      </c>
      <c r="M373" s="138" t="str">
        <f ca="1">IF(J372&gt;=7,(MID(L373,1,1)&amp;MID(L373,2,3)+1),CELL("address",AD373))</f>
        <v>$AD$373</v>
      </c>
      <c r="N373" s="138" t="str">
        <f ca="1">IF(J372&gt;=8,(MID(M373,1,1)&amp;MID(M373,2,3)+1),CELL("address",AE373))</f>
        <v>$AE$373</v>
      </c>
      <c r="O373" s="138" t="str">
        <f ca="1">IF(J372&gt;=9,(MID(N373,1,1)&amp;MID(N373,2,3)+1),CELL("address",AF373))</f>
        <v>$AF$373</v>
      </c>
      <c r="P373" s="138" t="str">
        <f ca="1">IF(J372&gt;=10,(MID(O373,1,1)&amp;MID(O373,2,3)+1),CELL("address",AG373))</f>
        <v>$AG$373</v>
      </c>
      <c r="Q373" s="138" t="str">
        <f ca="1">IF(J372&gt;=11,(MID(P373,1,1)&amp;MID(P373,2,3)+1),CELL("address",AH373))</f>
        <v>$AH$373</v>
      </c>
      <c r="R373" s="138" t="str">
        <f ca="1">IF(J372&gt;=12,(MID(Q373,1,1)&amp;MID(Q373,2,3)+1),CELL("address",AI373))</f>
        <v>$AI$373</v>
      </c>
    </row>
    <row r="374" spans="1:8" ht="15" customHeight="1">
      <c r="A374" s="231"/>
      <c r="B374" s="231"/>
      <c r="C374" s="237"/>
      <c r="D374" s="105" t="s">
        <v>61</v>
      </c>
      <c r="E374" s="52">
        <v>6.345</v>
      </c>
      <c r="G374" s="129" t="str">
        <f>CONCATENATE(D374," - ",E374,", ")</f>
        <v>Transformer body scrap - 6.345, </v>
      </c>
      <c r="H374" s="142"/>
    </row>
    <row r="375" spans="1:8" ht="15" customHeight="1">
      <c r="A375" s="45"/>
      <c r="B375" s="47"/>
      <c r="C375" s="54"/>
      <c r="D375" s="126"/>
      <c r="E375" s="71"/>
      <c r="G375" s="129"/>
      <c r="H375" s="142"/>
    </row>
    <row r="376" spans="1:8" ht="15" customHeight="1">
      <c r="A376" s="60"/>
      <c r="B376" s="61"/>
      <c r="C376" s="61"/>
      <c r="D376" s="62"/>
      <c r="E376" s="63">
        <f>SUM(E378:E379)</f>
        <v>1.368</v>
      </c>
      <c r="G376" s="129"/>
      <c r="H376" s="142"/>
    </row>
    <row r="377" spans="1:18" ht="15" customHeight="1">
      <c r="A377" s="231" t="s">
        <v>5</v>
      </c>
      <c r="B377" s="231"/>
      <c r="C377" s="46" t="s">
        <v>17</v>
      </c>
      <c r="D377" s="184" t="s">
        <v>18</v>
      </c>
      <c r="E377" s="46" t="s">
        <v>7</v>
      </c>
      <c r="G377" s="131" t="str">
        <f>CONCATENATE("Misc. Iron Scrap, Lying at ",C378,". Quantity in MT - ")</f>
        <v>Misc. Iron Scrap, Lying at CS Bathinda. Quantity in MT - </v>
      </c>
      <c r="H377" s="261" t="str">
        <f ca="1">CONCATENATE(G377,G378,(INDIRECT(I378)),(INDIRECT(J378)),(INDIRECT(K378)),(INDIRECT(L378)),(INDIRECT(M378)),(INDIRECT(N378)),(INDIRECT(O378)),(INDIRECT(P378)),(INDIRECT(Q378)),(INDIRECT(R378)),".")</f>
        <v>Misc. Iron Scrap, Lying at CS Bathinda. Quantity in MT - MS iron scrap - 1.31, G.I. Scrap - 0.058, .</v>
      </c>
      <c r="I377" s="138" t="str">
        <f aca="true" ca="1" t="array" ref="I377">CELL("address",INDEX(G377:G403,MATCH(TRUE,ISBLANK(G377:G403),0)))</f>
        <v>$G$380</v>
      </c>
      <c r="J377" s="138">
        <f aca="true" t="array" ref="J377">MATCH(TRUE,ISBLANK(G377:G403),0)</f>
        <v>4</v>
      </c>
      <c r="K377" s="138">
        <f>J377-3</f>
        <v>1</v>
      </c>
      <c r="L377" s="138"/>
      <c r="M377" s="138"/>
      <c r="N377" s="138"/>
      <c r="O377" s="138"/>
      <c r="P377" s="138"/>
      <c r="Q377" s="138"/>
      <c r="R377" s="138"/>
    </row>
    <row r="378" spans="1:18" ht="15" customHeight="1">
      <c r="A378" s="231" t="s">
        <v>344</v>
      </c>
      <c r="B378" s="231"/>
      <c r="C378" s="237" t="s">
        <v>64</v>
      </c>
      <c r="D378" s="48" t="s">
        <v>29</v>
      </c>
      <c r="E378" s="52">
        <v>1.31</v>
      </c>
      <c r="G378" s="129" t="str">
        <f>CONCATENATE(D378," - ",E378,", ")</f>
        <v>MS iron scrap - 1.31, </v>
      </c>
      <c r="H378" s="261"/>
      <c r="I378" s="138" t="str">
        <f ca="1">IF(J377&gt;=3,(MID(I377,2,1)&amp;MID(I377,4,3)-K377),CELL("address",Z378))</f>
        <v>G379</v>
      </c>
      <c r="J378" s="138" t="str">
        <f ca="1">IF(J377&gt;=4,(MID(I378,1,1)&amp;MID(I378,2,3)+1),CELL("address",AA378))</f>
        <v>G380</v>
      </c>
      <c r="K378" s="138" t="str">
        <f ca="1">IF(J377&gt;=5,(MID(J378,1,1)&amp;MID(J378,2,3)+1),CELL("address",AB378))</f>
        <v>$AB$378</v>
      </c>
      <c r="L378" s="138" t="str">
        <f ca="1">IF(J377&gt;=6,(MID(K378,1,1)&amp;MID(K378,2,3)+1),CELL("address",AC378))</f>
        <v>$AC$378</v>
      </c>
      <c r="M378" s="138" t="str">
        <f ca="1">IF(J377&gt;=7,(MID(L378,1,1)&amp;MID(L378,2,3)+1),CELL("address",AD378))</f>
        <v>$AD$378</v>
      </c>
      <c r="N378" s="138" t="str">
        <f ca="1">IF(J377&gt;=8,(MID(M378,1,1)&amp;MID(M378,2,3)+1),CELL("address",AE378))</f>
        <v>$AE$378</v>
      </c>
      <c r="O378" s="138" t="str">
        <f ca="1">IF(J377&gt;=9,(MID(N378,1,1)&amp;MID(N378,2,3)+1),CELL("address",AF378))</f>
        <v>$AF$378</v>
      </c>
      <c r="P378" s="138" t="str">
        <f ca="1">IF(J377&gt;=10,(MID(O378,1,1)&amp;MID(O378,2,3)+1),CELL("address",AG378))</f>
        <v>$AG$378</v>
      </c>
      <c r="Q378" s="138" t="str">
        <f ca="1">IF(J377&gt;=11,(MID(P378,1,1)&amp;MID(P378,2,3)+1),CELL("address",AH378))</f>
        <v>$AH$378</v>
      </c>
      <c r="R378" s="138" t="str">
        <f ca="1">IF(J377&gt;=12,(MID(Q378,1,1)&amp;MID(Q378,2,3)+1),CELL("address",AI378))</f>
        <v>$AI$378</v>
      </c>
    </row>
    <row r="379" spans="1:8" ht="15" customHeight="1">
      <c r="A379" s="231"/>
      <c r="B379" s="231"/>
      <c r="C379" s="237"/>
      <c r="D379" s="105" t="s">
        <v>195</v>
      </c>
      <c r="E379" s="71">
        <v>0.058</v>
      </c>
      <c r="G379" s="129" t="str">
        <f>CONCATENATE(D379," - ",E379,", ")</f>
        <v>G.I. Scrap - 0.058, </v>
      </c>
      <c r="H379" s="142"/>
    </row>
    <row r="380" spans="1:8" ht="15" customHeight="1">
      <c r="A380" s="45"/>
      <c r="B380" s="47"/>
      <c r="C380" s="54"/>
      <c r="D380" s="126"/>
      <c r="E380" s="71"/>
      <c r="G380" s="129"/>
      <c r="H380" s="142"/>
    </row>
    <row r="381" spans="1:8" ht="18.75" customHeight="1">
      <c r="A381" s="300" t="s">
        <v>318</v>
      </c>
      <c r="B381" s="301"/>
      <c r="C381" s="301"/>
      <c r="D381" s="301"/>
      <c r="E381" s="302"/>
      <c r="H381" s="140"/>
    </row>
    <row r="382" spans="1:8" ht="15" customHeight="1">
      <c r="A382" s="254" t="s">
        <v>5</v>
      </c>
      <c r="B382" s="255"/>
      <c r="C382" s="254" t="s">
        <v>6</v>
      </c>
      <c r="D382" s="255"/>
      <c r="E382" s="184" t="s">
        <v>7</v>
      </c>
      <c r="G382" s="132"/>
      <c r="H382" s="145"/>
    </row>
    <row r="383" spans="1:8" ht="15" customHeight="1">
      <c r="A383" s="231" t="s">
        <v>126</v>
      </c>
      <c r="B383" s="231"/>
      <c r="C383" s="269" t="s">
        <v>114</v>
      </c>
      <c r="D383" s="269"/>
      <c r="E383" s="91">
        <v>1.293</v>
      </c>
      <c r="G383" s="133"/>
      <c r="H383" s="131" t="str">
        <f>CONCATENATE("Wooden scrap (without iron parts), Lying at ",C383,". Quantity in MT - ",E383,)</f>
        <v>Wooden scrap (without iron parts), Lying at OL Fazilka. Quantity in MT - 1.293</v>
      </c>
    </row>
    <row r="384" spans="1:8" ht="15" customHeight="1">
      <c r="A384" s="231" t="s">
        <v>129</v>
      </c>
      <c r="B384" s="231"/>
      <c r="C384" s="231" t="s">
        <v>96</v>
      </c>
      <c r="D384" s="231"/>
      <c r="E384" s="91">
        <v>0.159</v>
      </c>
      <c r="H384" s="131" t="str">
        <f>CONCATENATE("Wooden scrap (without iron parts), Lying at ",C384,". Quantity in MT - ",E384,)</f>
        <v>Wooden scrap (without iron parts), Lying at CS Malout. Quantity in MT - 0.159</v>
      </c>
    </row>
    <row r="385" spans="1:8" ht="15" customHeight="1">
      <c r="A385" s="231" t="s">
        <v>130</v>
      </c>
      <c r="B385" s="231"/>
      <c r="C385" s="269" t="s">
        <v>156</v>
      </c>
      <c r="D385" s="269"/>
      <c r="E385" s="91">
        <v>0.46</v>
      </c>
      <c r="H385" s="131" t="str">
        <f>CONCATENATE("Wooden scrap (without iron parts), Lying at ",C385,". Quantity in MT - ",E385,)</f>
        <v>Wooden scrap (without iron parts), Lying at OL Shri Muktsar sahib. Quantity in MT - 0.46</v>
      </c>
    </row>
    <row r="386" spans="1:8" ht="15" customHeight="1">
      <c r="A386" s="231" t="s">
        <v>131</v>
      </c>
      <c r="B386" s="231"/>
      <c r="C386" s="269" t="s">
        <v>103</v>
      </c>
      <c r="D386" s="269"/>
      <c r="E386" s="52">
        <v>0.41</v>
      </c>
      <c r="H386" s="131" t="str">
        <f>CONCATENATE("Wooden scrap (without iron parts), Lying at ",C386,". Quantity in MT - ",E386,)</f>
        <v>Wooden scrap (without iron parts), Lying at OL Patran. Quantity in MT - 0.41</v>
      </c>
    </row>
    <row r="387" spans="1:8" ht="15" customHeight="1" thickBot="1">
      <c r="A387" s="231" t="s">
        <v>132</v>
      </c>
      <c r="B387" s="231"/>
      <c r="C387" s="231" t="s">
        <v>43</v>
      </c>
      <c r="D387" s="231"/>
      <c r="E387" s="52">
        <v>0.97</v>
      </c>
      <c r="H387" s="131" t="str">
        <f>CONCATENATE("Wooden scrap (without iron parts), Lying at ",C387,". Quantity in MT - ",E387,)</f>
        <v>Wooden scrap (without iron parts), Lying at CS Kotkapura. Quantity in MT - 0.97</v>
      </c>
    </row>
    <row r="388" spans="1:8" ht="20.25" customHeight="1" thickBot="1">
      <c r="A388" s="308" t="s">
        <v>14</v>
      </c>
      <c r="B388" s="309"/>
      <c r="C388" s="192"/>
      <c r="D388" s="192"/>
      <c r="E388" s="159">
        <f>SUM(E383:E387)</f>
        <v>3.292</v>
      </c>
      <c r="H388" s="140"/>
    </row>
    <row r="389" spans="1:8" ht="15" customHeight="1">
      <c r="A389" s="22"/>
      <c r="B389" s="22"/>
      <c r="C389" s="17"/>
      <c r="D389" s="17"/>
      <c r="E389" s="16"/>
      <c r="H389" s="140"/>
    </row>
    <row r="390" spans="1:8" ht="15" customHeight="1">
      <c r="A390" s="281" t="s">
        <v>11</v>
      </c>
      <c r="B390" s="282"/>
      <c r="C390" s="282"/>
      <c r="D390" s="282"/>
      <c r="E390" s="283"/>
      <c r="H390" s="140"/>
    </row>
    <row r="391" spans="1:8" ht="15" customHeight="1">
      <c r="A391" s="18"/>
      <c r="B391" s="19"/>
      <c r="C391" s="19"/>
      <c r="D391" s="19"/>
      <c r="E391" s="20"/>
      <c r="H391" s="140"/>
    </row>
    <row r="392" spans="1:8" ht="15" customHeight="1">
      <c r="A392" s="310" t="s">
        <v>8</v>
      </c>
      <c r="B392" s="311"/>
      <c r="C392" s="311"/>
      <c r="D392" s="311"/>
      <c r="E392" s="312"/>
      <c r="H392" s="140"/>
    </row>
    <row r="393" spans="1:8" ht="15" customHeight="1">
      <c r="A393" s="46" t="s">
        <v>5</v>
      </c>
      <c r="B393" s="237" t="s">
        <v>17</v>
      </c>
      <c r="C393" s="237"/>
      <c r="D393" s="184" t="s">
        <v>18</v>
      </c>
      <c r="E393" s="46" t="s">
        <v>77</v>
      </c>
      <c r="H393" s="132"/>
    </row>
    <row r="394" spans="1:8" ht="15" customHeight="1">
      <c r="A394" s="46" t="s">
        <v>79</v>
      </c>
      <c r="B394" s="264" t="s">
        <v>110</v>
      </c>
      <c r="C394" s="264"/>
      <c r="D394" s="46" t="s">
        <v>78</v>
      </c>
      <c r="E394" s="67">
        <v>26</v>
      </c>
      <c r="H394" s="131" t="str">
        <f>CONCATENATE("CT/PT Units, Lying at ",B394,". Quantity in No - ",E394,)</f>
        <v>CT/PT Units, Lying at Central Store Kotkapura. Quantity in No - 26</v>
      </c>
    </row>
    <row r="395" spans="1:8" ht="15" customHeight="1">
      <c r="A395" s="45"/>
      <c r="B395" s="100"/>
      <c r="C395" s="100"/>
      <c r="D395" s="75"/>
      <c r="E395" s="76"/>
      <c r="H395" s="140"/>
    </row>
    <row r="396" spans="1:8" ht="15" customHeight="1">
      <c r="A396" s="46" t="s">
        <v>5</v>
      </c>
      <c r="B396" s="237" t="s">
        <v>17</v>
      </c>
      <c r="C396" s="237"/>
      <c r="D396" s="184" t="s">
        <v>18</v>
      </c>
      <c r="E396" s="46" t="s">
        <v>77</v>
      </c>
      <c r="H396" s="140"/>
    </row>
    <row r="397" spans="1:8" ht="15" customHeight="1">
      <c r="A397" s="46" t="s">
        <v>123</v>
      </c>
      <c r="B397" s="264" t="s">
        <v>158</v>
      </c>
      <c r="C397" s="264"/>
      <c r="D397" s="46" t="s">
        <v>78</v>
      </c>
      <c r="E397" s="67">
        <v>20</v>
      </c>
      <c r="H397" s="131" t="str">
        <f>CONCATENATE("CT/PT Units, Lying at ",B397,". Quantity in No - ",E397,)</f>
        <v>CT/PT Units, Lying at Central Store Patiala. Quantity in No - 20</v>
      </c>
    </row>
    <row r="398" spans="1:8" ht="15" customHeight="1">
      <c r="A398" s="45"/>
      <c r="B398" s="108"/>
      <c r="C398" s="108"/>
      <c r="D398" s="47"/>
      <c r="E398" s="68"/>
      <c r="H398" s="140"/>
    </row>
    <row r="399" spans="1:8" ht="15" customHeight="1">
      <c r="A399" s="46" t="s">
        <v>5</v>
      </c>
      <c r="B399" s="237" t="s">
        <v>17</v>
      </c>
      <c r="C399" s="237"/>
      <c r="D399" s="184" t="s">
        <v>18</v>
      </c>
      <c r="E399" s="46" t="s">
        <v>77</v>
      </c>
      <c r="H399" s="140"/>
    </row>
    <row r="400" spans="1:8" ht="15" customHeight="1">
      <c r="A400" s="46" t="s">
        <v>194</v>
      </c>
      <c r="B400" s="264" t="s">
        <v>183</v>
      </c>
      <c r="C400" s="264"/>
      <c r="D400" s="46" t="s">
        <v>78</v>
      </c>
      <c r="E400" s="67">
        <v>29</v>
      </c>
      <c r="H400" s="131" t="str">
        <f>CONCATENATE("CT/PT Units, Lying at ",B400,". Quantity in No - ",E400,)</f>
        <v>CT/PT Units, Lying at Outlet store Ropar. Quantity in No - 29</v>
      </c>
    </row>
    <row r="401" spans="1:8" ht="15" customHeight="1">
      <c r="A401" s="45"/>
      <c r="B401" s="108"/>
      <c r="C401" s="108"/>
      <c r="D401" s="75"/>
      <c r="E401" s="76"/>
      <c r="H401" s="140"/>
    </row>
    <row r="402" spans="1:8" ht="15" customHeight="1">
      <c r="A402" s="46" t="s">
        <v>5</v>
      </c>
      <c r="B402" s="237" t="s">
        <v>17</v>
      </c>
      <c r="C402" s="237"/>
      <c r="D402" s="184" t="s">
        <v>18</v>
      </c>
      <c r="E402" s="46" t="s">
        <v>77</v>
      </c>
      <c r="H402" s="140"/>
    </row>
    <row r="403" spans="1:8" ht="15" customHeight="1">
      <c r="A403" s="46" t="s">
        <v>203</v>
      </c>
      <c r="B403" s="264" t="s">
        <v>207</v>
      </c>
      <c r="C403" s="264"/>
      <c r="D403" s="46" t="s">
        <v>78</v>
      </c>
      <c r="E403" s="67">
        <v>37</v>
      </c>
      <c r="H403" s="131" t="str">
        <f>CONCATENATE("CT/PT Units, Lying at ",B403,". Quantity in No - ",E403,)</f>
        <v>CT/PT Units, Lying at Central Store Sangrur. Quantity in No - 37</v>
      </c>
    </row>
    <row r="404" spans="1:8" ht="15" customHeight="1">
      <c r="A404" s="45"/>
      <c r="B404" s="108"/>
      <c r="C404" s="108"/>
      <c r="D404" s="75"/>
      <c r="E404" s="76"/>
      <c r="H404" s="132"/>
    </row>
    <row r="405" spans="1:8" ht="15" customHeight="1">
      <c r="A405" s="46" t="s">
        <v>5</v>
      </c>
      <c r="B405" s="237" t="s">
        <v>17</v>
      </c>
      <c r="C405" s="237"/>
      <c r="D405" s="184" t="s">
        <v>18</v>
      </c>
      <c r="E405" s="46" t="s">
        <v>77</v>
      </c>
      <c r="H405" s="132"/>
    </row>
    <row r="406" spans="1:8" ht="15" customHeight="1">
      <c r="A406" s="46" t="s">
        <v>285</v>
      </c>
      <c r="B406" s="264" t="s">
        <v>335</v>
      </c>
      <c r="C406" s="264"/>
      <c r="D406" s="46" t="s">
        <v>78</v>
      </c>
      <c r="E406" s="67">
        <v>25</v>
      </c>
      <c r="H406" s="131" t="str">
        <f>CONCATENATE("CT/PT Units, Lying at ",B406,". Quantity in No - ",E406,)</f>
        <v>CT/PT Units, Lying at Central Store Bathinda. Quantity in No - 25</v>
      </c>
    </row>
    <row r="407" spans="1:8" ht="15" customHeight="1">
      <c r="A407" s="45"/>
      <c r="B407" s="108"/>
      <c r="C407" s="108"/>
      <c r="D407" s="47"/>
      <c r="E407" s="68"/>
      <c r="H407" s="132"/>
    </row>
    <row r="408" spans="1:8" ht="15" customHeight="1">
      <c r="A408" s="46" t="s">
        <v>5</v>
      </c>
      <c r="B408" s="237" t="s">
        <v>17</v>
      </c>
      <c r="C408" s="237"/>
      <c r="D408" s="184" t="s">
        <v>18</v>
      </c>
      <c r="E408" s="46" t="s">
        <v>77</v>
      </c>
      <c r="H408" s="132"/>
    </row>
    <row r="409" spans="1:8" ht="15" customHeight="1">
      <c r="A409" s="46" t="s">
        <v>336</v>
      </c>
      <c r="B409" s="264" t="s">
        <v>110</v>
      </c>
      <c r="C409" s="264"/>
      <c r="D409" s="46" t="s">
        <v>286</v>
      </c>
      <c r="E409" s="67">
        <v>167</v>
      </c>
      <c r="H409" s="131" t="str">
        <f>CONCATENATE("Empty steel drums (cap 209 ltrs), Lying at ",B409,". Quantity in No - ",E409,)</f>
        <v>Empty steel drums (cap 209 ltrs), Lying at Central Store Kotkapura. Quantity in No - 167</v>
      </c>
    </row>
    <row r="410" spans="1:8" ht="15" customHeight="1">
      <c r="A410" s="45"/>
      <c r="B410" s="100"/>
      <c r="C410" s="100"/>
      <c r="D410" s="75"/>
      <c r="E410" s="76"/>
      <c r="H410" s="140"/>
    </row>
    <row r="411" spans="1:8" ht="15" customHeight="1">
      <c r="A411" s="294" t="s">
        <v>16</v>
      </c>
      <c r="B411" s="295"/>
      <c r="C411" s="295"/>
      <c r="D411" s="295"/>
      <c r="E411" s="296"/>
      <c r="H411" s="140"/>
    </row>
    <row r="412" spans="1:8" ht="15" customHeight="1">
      <c r="A412" s="23"/>
      <c r="B412" s="24"/>
      <c r="C412" s="24"/>
      <c r="D412" s="24"/>
      <c r="E412" s="25"/>
      <c r="H412" s="140"/>
    </row>
    <row r="413" spans="1:8" ht="15" customHeight="1">
      <c r="A413" s="265" t="s">
        <v>15</v>
      </c>
      <c r="B413" s="266"/>
      <c r="C413" s="266"/>
      <c r="D413" s="266"/>
      <c r="E413" s="267"/>
      <c r="H413" s="140"/>
    </row>
    <row r="414" spans="1:8" ht="15" customHeight="1">
      <c r="A414" s="194"/>
      <c r="B414" s="195"/>
      <c r="C414" s="195"/>
      <c r="D414" s="195"/>
      <c r="E414" s="196"/>
      <c r="H414" s="140"/>
    </row>
    <row r="415" spans="1:8" ht="15" customHeight="1">
      <c r="A415" s="303" t="s">
        <v>49</v>
      </c>
      <c r="B415" s="304"/>
      <c r="C415" s="304"/>
      <c r="D415" s="304"/>
      <c r="E415" s="305"/>
      <c r="H415" s="140"/>
    </row>
    <row r="416" spans="1:11" ht="38.25" customHeight="1">
      <c r="A416" s="15" t="s">
        <v>5</v>
      </c>
      <c r="B416" s="15" t="s">
        <v>1</v>
      </c>
      <c r="C416" s="15" t="s">
        <v>2</v>
      </c>
      <c r="D416" s="15" t="s">
        <v>3</v>
      </c>
      <c r="E416" s="15" t="s">
        <v>4</v>
      </c>
      <c r="G416" s="148"/>
      <c r="H416" s="147"/>
      <c r="I416" s="134"/>
      <c r="J416" s="134"/>
      <c r="K416" s="135"/>
    </row>
    <row r="417" spans="1:8" ht="25.5" customHeight="1">
      <c r="A417" s="12" t="s">
        <v>111</v>
      </c>
      <c r="B417" s="12" t="s">
        <v>89</v>
      </c>
      <c r="C417" s="12" t="s">
        <v>107</v>
      </c>
      <c r="D417" s="12" t="s">
        <v>90</v>
      </c>
      <c r="E417" s="28" t="s">
        <v>256</v>
      </c>
      <c r="G417" s="132"/>
      <c r="H417" s="143" t="str">
        <f>CONCATENATE("Condemned/obsolete Vehicles  (Without RC )--- ",B417," ",C417," ",E417," ",)</f>
        <v>Condemned/obsolete Vehicles  (Without RC )--- PB-11 AH-0925 HONDA CIVIC CAR (PETROL) 2008 …. CE/ TA &amp; I PSPCL PATIALA 96461-19587 </v>
      </c>
    </row>
    <row r="418" spans="1:8" ht="25.5" customHeight="1">
      <c r="A418" s="12" t="s">
        <v>147</v>
      </c>
      <c r="B418" s="27" t="s">
        <v>144</v>
      </c>
      <c r="C418" s="27" t="s">
        <v>145</v>
      </c>
      <c r="D418" s="27" t="s">
        <v>146</v>
      </c>
      <c r="E418" s="27" t="s">
        <v>257</v>
      </c>
      <c r="G418" s="132"/>
      <c r="H418" s="143" t="str">
        <f>CONCATENATE("Condemned/obsolete Vehicles  (Without RC )--- ",B418," ",C418," ",E418," ",)</f>
        <v>Condemned/obsolete Vehicles  (Without RC )--- PB-05 F-9520 MINI TRUCK EICHER DIESEL (1999) ….. DS S/D MAMDOT PSPCL FEROZEPUR MOB 9646114589 </v>
      </c>
    </row>
    <row r="419" spans="1:8" ht="25.5" customHeight="1">
      <c r="A419" s="12" t="s">
        <v>150</v>
      </c>
      <c r="B419" s="27" t="s">
        <v>151</v>
      </c>
      <c r="C419" s="27" t="s">
        <v>152</v>
      </c>
      <c r="D419" s="27" t="s">
        <v>153</v>
      </c>
      <c r="E419" s="27" t="s">
        <v>258</v>
      </c>
      <c r="G419" s="132"/>
      <c r="H419" s="143" t="str">
        <f>CONCATENATE("Condemned/obsolete Vehicles  (Without RC )--- ",B419," ",C419," ",E419," ",)</f>
        <v>Condemned/obsolete Vehicles  (Without RC )--- PB-03 N-5547 AMBASSADOR CAR DIESEL (2005) ….. DS DIVISION BADAL 96461-14534 </v>
      </c>
    </row>
    <row r="420" spans="1:8" ht="25.5" customHeight="1">
      <c r="A420" s="12" t="s">
        <v>263</v>
      </c>
      <c r="B420" s="27" t="s">
        <v>366</v>
      </c>
      <c r="C420" s="27" t="s">
        <v>367</v>
      </c>
      <c r="D420" s="27" t="s">
        <v>365</v>
      </c>
      <c r="E420" s="27" t="s">
        <v>376</v>
      </c>
      <c r="G420" s="132"/>
      <c r="H420" s="143" t="str">
        <f>CONCATENATE("Condemned/obsolete Vehicles  (Without RC )--- ",B420," ",C420," ",E420," ",)</f>
        <v>Condemned/obsolete Vehicles  (Without RC )--- PB-03 A-3324 MINI TRUCK DIESEL (1990)(MAHINDRA JEEP) …….SUB URBAN  DS KOTKAPURA 96461-14931 </v>
      </c>
    </row>
    <row r="421" spans="1:8" ht="15" customHeight="1">
      <c r="A421" s="21"/>
      <c r="B421" s="26"/>
      <c r="C421" s="26"/>
      <c r="D421" s="21"/>
      <c r="E421" s="21"/>
      <c r="H421" s="140"/>
    </row>
    <row r="422" spans="1:8" ht="15" customHeight="1">
      <c r="A422" s="297" t="s">
        <v>50</v>
      </c>
      <c r="B422" s="298"/>
      <c r="C422" s="298"/>
      <c r="D422" s="298"/>
      <c r="E422" s="299"/>
      <c r="H422" s="140"/>
    </row>
    <row r="423" spans="1:8" ht="15" customHeight="1">
      <c r="A423" s="262" t="s">
        <v>108</v>
      </c>
      <c r="B423" s="263"/>
      <c r="C423" s="263"/>
      <c r="D423" s="263"/>
      <c r="E423" s="263"/>
      <c r="H423" s="140"/>
    </row>
    <row r="424" spans="1:8" ht="15" customHeight="1">
      <c r="A424" s="7"/>
      <c r="B424" s="8"/>
      <c r="C424" s="8"/>
      <c r="D424" s="8"/>
      <c r="E424" s="8"/>
      <c r="F424" s="177"/>
      <c r="G424" s="177"/>
      <c r="H424" s="140"/>
    </row>
    <row r="425" spans="1:8" ht="15" customHeight="1">
      <c r="A425" s="294" t="s">
        <v>25</v>
      </c>
      <c r="B425" s="295"/>
      <c r="C425" s="295"/>
      <c r="D425" s="295"/>
      <c r="E425" s="296"/>
      <c r="H425" s="140"/>
    </row>
    <row r="426" spans="1:8" ht="15" customHeight="1">
      <c r="A426" s="77"/>
      <c r="B426" s="77"/>
      <c r="C426" s="78"/>
      <c r="D426" s="78"/>
      <c r="E426" s="79">
        <f>SUM(E428:E431)</f>
        <v>4.129</v>
      </c>
      <c r="F426" s="177"/>
      <c r="H426" s="140"/>
    </row>
    <row r="427" spans="1:18" ht="15" customHeight="1">
      <c r="A427" s="232" t="s">
        <v>5</v>
      </c>
      <c r="B427" s="233"/>
      <c r="C427" s="80" t="s">
        <v>17</v>
      </c>
      <c r="D427" s="81" t="s">
        <v>18</v>
      </c>
      <c r="E427" s="80" t="s">
        <v>7</v>
      </c>
      <c r="F427" s="129"/>
      <c r="G427" s="131" t="str">
        <f>CONCATENATE("Misc. Healthy parts/ Non Ferrous  Scrap, Lying at ",C428,". Quantity in MT - ")</f>
        <v>Misc. Healthy parts/ Non Ferrous  Scrap, Lying at TRY Bathinda. Quantity in MT - </v>
      </c>
      <c r="H427" s="261" t="str">
        <f ca="1">CONCATENATE(G427,G428,(INDIRECT(I428)),(INDIRECT(J428)),(INDIRECT(K428)),(INDIRECT(L428)),(INDIRECT(M428)),(INDIRECT(N428)),(INDIRECT(O428)),(INDIRECT(P428)),(INDIRECT(Q428)),(INDIRECT(R428)),".")</f>
        <v>Misc. Healthy parts/ Non Ferrous  Scrap, Lying at TRY Bathinda. Quantity in MT - Brass scrap - 2.683, Misc. Aluminium scrap - 0.893, Burnt Cu scrap - 0.203, Nuts &amp; Bolts scrap - 0.35, .</v>
      </c>
      <c r="I427" s="138" t="str">
        <f aca="true" ca="1" t="array" ref="I427">CELL("address",INDEX(G427:G449,MATCH(TRUE,ISBLANK(G427:G449),0)))</f>
        <v>$G$432</v>
      </c>
      <c r="J427" s="138">
        <f aca="true" t="array" ref="J427">MATCH(TRUE,ISBLANK(G427:G449),0)</f>
        <v>6</v>
      </c>
      <c r="K427" s="138">
        <f>J427-3</f>
        <v>3</v>
      </c>
      <c r="L427" s="138"/>
      <c r="M427" s="138"/>
      <c r="N427" s="138"/>
      <c r="O427" s="138"/>
      <c r="P427" s="138"/>
      <c r="Q427" s="138"/>
      <c r="R427" s="138"/>
    </row>
    <row r="428" spans="1:18" ht="15" customHeight="1">
      <c r="A428" s="231" t="s">
        <v>34</v>
      </c>
      <c r="B428" s="231"/>
      <c r="C428" s="237" t="s">
        <v>36</v>
      </c>
      <c r="D428" s="46" t="s">
        <v>23</v>
      </c>
      <c r="E428" s="52">
        <v>2.683</v>
      </c>
      <c r="F428" s="129"/>
      <c r="G428" s="129" t="str">
        <f>CONCATENATE(D428," - ",E428,", ")</f>
        <v>Brass scrap - 2.683, </v>
      </c>
      <c r="H428" s="261"/>
      <c r="I428" s="138" t="str">
        <f ca="1">IF(J427&gt;=3,(MID(I427,2,1)&amp;MID(I427,4,4)-K427),CELL("address",Z428))</f>
        <v>G429</v>
      </c>
      <c r="J428" s="138" t="str">
        <f ca="1">IF(J427&gt;=4,(MID(I428,1,1)&amp;MID(I428,2,4)+1),CELL("address",AA428))</f>
        <v>G430</v>
      </c>
      <c r="K428" s="138" t="str">
        <f ca="1">IF(J427&gt;=5,(MID(J428,1,1)&amp;MID(J428,2,4)+1),CELL("address",AB428))</f>
        <v>G431</v>
      </c>
      <c r="L428" s="138" t="str">
        <f ca="1">IF(J427&gt;=6,(MID(K428,1,1)&amp;MID(K428,2,4)+1),CELL("address",AC428))</f>
        <v>G432</v>
      </c>
      <c r="M428" s="138" t="str">
        <f ca="1">IF(J427&gt;=7,(MID(L428,1,1)&amp;MID(L428,2,4)+1),CELL("address",AD428))</f>
        <v>$AD$428</v>
      </c>
      <c r="N428" s="138" t="str">
        <f ca="1">IF(J427&gt;=8,(MID(M428,1,1)&amp;MID(M428,2,4)+1),CELL("address",AE428))</f>
        <v>$AE$428</v>
      </c>
      <c r="O428" s="138" t="str">
        <f ca="1">IF(J427&gt;=9,(MID(N428,1,1)&amp;MID(N428,2,4)+1),CELL("address",AF428))</f>
        <v>$AF$428</v>
      </c>
      <c r="P428" s="138" t="str">
        <f ca="1">IF(J427&gt;=10,(MID(O428,1,1)&amp;MID(O428,2,4)+1),CELL("address",AG428))</f>
        <v>$AG$428</v>
      </c>
      <c r="Q428" s="138" t="str">
        <f ca="1">IF(J427&gt;=11,(MID(P428,1,1)&amp;MID(P428,2,4)+1),CELL("address",AH428))</f>
        <v>$AH$428</v>
      </c>
      <c r="R428" s="138" t="str">
        <f ca="1">IF(J427&gt;=12,(MID(Q428,1,1)&amp;MID(Q428,2,4)+1),CELL("address",AI428))</f>
        <v>$AI$428</v>
      </c>
    </row>
    <row r="429" spans="1:8" ht="15" customHeight="1">
      <c r="A429" s="231"/>
      <c r="B429" s="231"/>
      <c r="C429" s="237"/>
      <c r="D429" s="46" t="s">
        <v>24</v>
      </c>
      <c r="E429" s="52">
        <v>0.893</v>
      </c>
      <c r="F429" s="129"/>
      <c r="G429" s="129" t="str">
        <f>CONCATENATE(D429," - ",E429,", ")</f>
        <v>Misc. Aluminium scrap - 0.893, </v>
      </c>
      <c r="H429" s="142"/>
    </row>
    <row r="430" spans="1:8" ht="15" customHeight="1">
      <c r="A430" s="231"/>
      <c r="B430" s="231"/>
      <c r="C430" s="237"/>
      <c r="D430" s="46" t="s">
        <v>37</v>
      </c>
      <c r="E430" s="52">
        <v>0.203</v>
      </c>
      <c r="F430" s="129"/>
      <c r="G430" s="129" t="str">
        <f>CONCATENATE(D430," - ",E430,", ")</f>
        <v>Burnt Cu scrap - 0.203, </v>
      </c>
      <c r="H430" s="142"/>
    </row>
    <row r="431" spans="1:23" ht="15" customHeight="1">
      <c r="A431" s="231"/>
      <c r="B431" s="231"/>
      <c r="C431" s="237"/>
      <c r="D431" s="46" t="s">
        <v>59</v>
      </c>
      <c r="E431" s="52">
        <v>0.35</v>
      </c>
      <c r="F431" s="129"/>
      <c r="G431" s="129" t="str">
        <f>CONCATENATE(D431," - ",E431,", ")</f>
        <v>Nuts &amp; Bolts scrap - 0.35, </v>
      </c>
      <c r="H431" s="142"/>
      <c r="T431" s="313"/>
      <c r="U431" s="313"/>
      <c r="V431" s="313"/>
      <c r="W431" s="313"/>
    </row>
    <row r="432" spans="1:8" ht="15" customHeight="1">
      <c r="A432" s="232"/>
      <c r="B432" s="233"/>
      <c r="C432" s="184"/>
      <c r="D432" s="46"/>
      <c r="E432" s="52"/>
      <c r="F432" s="129"/>
      <c r="G432" s="129"/>
      <c r="H432" s="142"/>
    </row>
    <row r="433" spans="1:8" ht="17.25" customHeight="1">
      <c r="A433" s="238"/>
      <c r="B433" s="239"/>
      <c r="C433" s="83"/>
      <c r="D433" s="83"/>
      <c r="E433" s="84">
        <f>SUM(E435:E440)</f>
        <v>11.541</v>
      </c>
      <c r="F433" s="129"/>
      <c r="G433" s="129"/>
      <c r="H433" s="142"/>
    </row>
    <row r="434" spans="1:18" ht="17.25" customHeight="1">
      <c r="A434" s="244" t="s">
        <v>5</v>
      </c>
      <c r="B434" s="245"/>
      <c r="C434" s="80" t="s">
        <v>17</v>
      </c>
      <c r="D434" s="81" t="s">
        <v>18</v>
      </c>
      <c r="E434" s="80" t="s">
        <v>7</v>
      </c>
      <c r="F434" s="129"/>
      <c r="G434" s="131" t="str">
        <f>CONCATENATE("Misc. Healthy parts/ Non Ferrous  Scrap, Lying at ",C435,". Quantity in MT - ")</f>
        <v>Misc. Healthy parts/ Non Ferrous  Scrap, Lying at TRY Ferozepur. Quantity in MT - </v>
      </c>
      <c r="H434" s="261" t="str">
        <f ca="1">CONCATENATE(G434,G435,(INDIRECT(I435)),(INDIRECT(J435)),(INDIRECT(K435)),(INDIRECT(L435)),(INDIRECT(M435)),(INDIRECT(N435)),(INDIRECT(O435)),(INDIRECT(P435)),(INDIRECT(Q435)),(INDIRECT(R435)),".")</f>
        <v>Misc. Healthy parts/ Non Ferrous  Scrap, Lying at TRY Ferozepur. Quantity in MT - Brass scrap - 5.187, Misc. Aluminium scrap - 0.926, Iron scrap - 0.651, Burnt Cu scrap - 0.235, Nuts &amp; Bolts scrap - 4.092, Teen Patra scrap - 0.45, .</v>
      </c>
      <c r="I434" s="138" t="str">
        <f aca="true" ca="1" t="array" ref="I434">CELL("address",INDEX(G434:G456,MATCH(TRUE,ISBLANK(G434:G456),0)))</f>
        <v>$G$441</v>
      </c>
      <c r="J434" s="138">
        <f aca="true" t="array" ref="J434">MATCH(TRUE,ISBLANK(G434:G456),0)</f>
        <v>8</v>
      </c>
      <c r="K434" s="138">
        <f>J434-3</f>
        <v>5</v>
      </c>
      <c r="L434" s="138"/>
      <c r="M434" s="138"/>
      <c r="N434" s="138"/>
      <c r="O434" s="138"/>
      <c r="P434" s="138"/>
      <c r="Q434" s="138"/>
      <c r="R434" s="138"/>
    </row>
    <row r="435" spans="1:18" ht="17.25" customHeight="1">
      <c r="A435" s="231" t="s">
        <v>112</v>
      </c>
      <c r="B435" s="231"/>
      <c r="C435" s="237" t="s">
        <v>42</v>
      </c>
      <c r="D435" s="46" t="s">
        <v>23</v>
      </c>
      <c r="E435" s="52">
        <v>5.187</v>
      </c>
      <c r="F435" s="129"/>
      <c r="G435" s="129" t="str">
        <f aca="true" t="shared" si="3" ref="G435:G440">CONCATENATE(D435," - ",E435,", ")</f>
        <v>Brass scrap - 5.187, </v>
      </c>
      <c r="H435" s="261"/>
      <c r="I435" s="138" t="str">
        <f ca="1">IF(J434&gt;=3,(MID(I434,2,1)&amp;MID(I434,4,4)-K434),CELL("address",Z435))</f>
        <v>G436</v>
      </c>
      <c r="J435" s="138" t="str">
        <f ca="1">IF(J434&gt;=4,(MID(I435,1,1)&amp;MID(I435,2,4)+1),CELL("address",AA435))</f>
        <v>G437</v>
      </c>
      <c r="K435" s="138" t="str">
        <f ca="1">IF(J434&gt;=5,(MID(J435,1,1)&amp;MID(J435,2,4)+1),CELL("address",AB435))</f>
        <v>G438</v>
      </c>
      <c r="L435" s="138" t="str">
        <f ca="1">IF(J434&gt;=6,(MID(K435,1,1)&amp;MID(K435,2,4)+1),CELL("address",AC435))</f>
        <v>G439</v>
      </c>
      <c r="M435" s="138" t="str">
        <f ca="1">IF(J434&gt;=7,(MID(L435,1,1)&amp;MID(L435,2,4)+1),CELL("address",AD435))</f>
        <v>G440</v>
      </c>
      <c r="N435" s="138" t="str">
        <f ca="1">IF(J434&gt;=8,(MID(M435,1,1)&amp;MID(M435,2,4)+1),CELL("address",AE435))</f>
        <v>G441</v>
      </c>
      <c r="O435" s="138" t="str">
        <f ca="1">IF(J434&gt;=9,(MID(N435,1,1)&amp;MID(N435,2,4)+1),CELL("address",AF435))</f>
        <v>$AF$435</v>
      </c>
      <c r="P435" s="138" t="str">
        <f ca="1">IF(J434&gt;=10,(MID(O435,1,1)&amp;MID(O435,2,4)+1),CELL("address",AG435))</f>
        <v>$AG$435</v>
      </c>
      <c r="Q435" s="138" t="str">
        <f ca="1">IF(J434&gt;=11,(MID(P435,1,1)&amp;MID(P435,2,4)+1),CELL("address",AH435))</f>
        <v>$AH$435</v>
      </c>
      <c r="R435" s="138" t="str">
        <f ca="1">IF(J434&gt;=12,(MID(Q435,1,1)&amp;MID(Q435,2,4)+1),CELL("address",AI435))</f>
        <v>$AI$435</v>
      </c>
    </row>
    <row r="436" spans="1:8" ht="17.25" customHeight="1">
      <c r="A436" s="231"/>
      <c r="B436" s="231"/>
      <c r="C436" s="237"/>
      <c r="D436" s="46" t="s">
        <v>24</v>
      </c>
      <c r="E436" s="52">
        <v>0.926</v>
      </c>
      <c r="F436" s="129"/>
      <c r="G436" s="129" t="str">
        <f t="shared" si="3"/>
        <v>Misc. Aluminium scrap - 0.926, </v>
      </c>
      <c r="H436" s="142"/>
    </row>
    <row r="437" spans="1:8" ht="17.25" customHeight="1">
      <c r="A437" s="231"/>
      <c r="B437" s="231"/>
      <c r="C437" s="237"/>
      <c r="D437" s="46" t="s">
        <v>27</v>
      </c>
      <c r="E437" s="80">
        <v>0.651</v>
      </c>
      <c r="F437" s="129"/>
      <c r="G437" s="129" t="str">
        <f t="shared" si="3"/>
        <v>Iron scrap - 0.651, </v>
      </c>
      <c r="H437" s="142"/>
    </row>
    <row r="438" spans="1:8" ht="17.25" customHeight="1">
      <c r="A438" s="231"/>
      <c r="B438" s="231"/>
      <c r="C438" s="237"/>
      <c r="D438" s="46" t="s">
        <v>37</v>
      </c>
      <c r="E438" s="80">
        <v>0.235</v>
      </c>
      <c r="F438" s="129"/>
      <c r="G438" s="129" t="str">
        <f t="shared" si="3"/>
        <v>Burnt Cu scrap - 0.235, </v>
      </c>
      <c r="H438" s="142"/>
    </row>
    <row r="439" spans="1:8" ht="15" customHeight="1">
      <c r="A439" s="231"/>
      <c r="B439" s="231"/>
      <c r="C439" s="237"/>
      <c r="D439" s="46" t="s">
        <v>59</v>
      </c>
      <c r="E439" s="80">
        <v>4.092</v>
      </c>
      <c r="F439" s="129"/>
      <c r="G439" s="129" t="str">
        <f t="shared" si="3"/>
        <v>Nuts &amp; Bolts scrap - 4.092, </v>
      </c>
      <c r="H439" s="142"/>
    </row>
    <row r="440" spans="1:8" ht="15" customHeight="1">
      <c r="A440" s="231"/>
      <c r="B440" s="231"/>
      <c r="C440" s="237"/>
      <c r="D440" s="46" t="s">
        <v>65</v>
      </c>
      <c r="E440" s="82">
        <v>0.45</v>
      </c>
      <c r="F440" s="129"/>
      <c r="G440" s="129" t="str">
        <f t="shared" si="3"/>
        <v>Teen Patra scrap - 0.45, </v>
      </c>
      <c r="H440" s="142"/>
    </row>
    <row r="441" spans="1:8" ht="15" customHeight="1">
      <c r="A441" s="45"/>
      <c r="B441" s="48"/>
      <c r="C441" s="184"/>
      <c r="D441" s="46"/>
      <c r="E441" s="82"/>
      <c r="F441" s="129"/>
      <c r="G441" s="129"/>
      <c r="H441" s="142"/>
    </row>
    <row r="442" spans="1:8" ht="15" customHeight="1">
      <c r="A442" s="238"/>
      <c r="B442" s="239"/>
      <c r="C442" s="83"/>
      <c r="D442" s="83"/>
      <c r="E442" s="84">
        <f>SUM(E444:E448)</f>
        <v>3.672</v>
      </c>
      <c r="F442" s="129"/>
      <c r="G442" s="129"/>
      <c r="H442" s="142"/>
    </row>
    <row r="443" spans="1:18" ht="15" customHeight="1">
      <c r="A443" s="231" t="s">
        <v>5</v>
      </c>
      <c r="B443" s="231"/>
      <c r="C443" s="80" t="s">
        <v>17</v>
      </c>
      <c r="D443" s="81" t="s">
        <v>18</v>
      </c>
      <c r="E443" s="80" t="s">
        <v>7</v>
      </c>
      <c r="F443" s="129"/>
      <c r="G443" s="131" t="str">
        <f>CONCATENATE("Misc. Healthy parts/ Non Ferrous  Scrap, Lying at ",C444,". Quantity in MT - ")</f>
        <v>Misc. Healthy parts/ Non Ferrous  Scrap, Lying at OL store Ropar. Quantity in MT - </v>
      </c>
      <c r="H443" s="261" t="str">
        <f ca="1">CONCATENATE(G443,G444,(INDIRECT(I444)),(INDIRECT(J444)),(INDIRECT(K444)),(INDIRECT(L444)),(INDIRECT(M444)),(INDIRECT(N444)),(INDIRECT(O444)),(INDIRECT(P444)),(INDIRECT(Q444)),(INDIRECT(R444)),".")</f>
        <v>Misc. Healthy parts/ Non Ferrous  Scrap, Lying at OL store Ropar. Quantity in MT - Brass scrap - 2.473, Misc. Aluminium scrap - 0.346, Burnt Cu scrap - 0.298, All Alumn. Conductor Scrap - 0.317, Misc. Copper scrap - 0.238, .</v>
      </c>
      <c r="I443" s="138" t="str">
        <f aca="true" ca="1" t="array" ref="I443">CELL("address",INDEX(G443:G465,MATCH(TRUE,ISBLANK(G443:G465),0)))</f>
        <v>$G$449</v>
      </c>
      <c r="J443" s="138">
        <f aca="true" t="array" ref="J443">MATCH(TRUE,ISBLANK(G443:G465),0)</f>
        <v>7</v>
      </c>
      <c r="K443" s="138">
        <f>J443-3</f>
        <v>4</v>
      </c>
      <c r="L443" s="138"/>
      <c r="M443" s="138"/>
      <c r="N443" s="138"/>
      <c r="O443" s="138"/>
      <c r="P443" s="138"/>
      <c r="Q443" s="138"/>
      <c r="R443" s="138"/>
    </row>
    <row r="444" spans="1:18" ht="15" customHeight="1">
      <c r="A444" s="244" t="s">
        <v>26</v>
      </c>
      <c r="B444" s="245"/>
      <c r="C444" s="250" t="s">
        <v>46</v>
      </c>
      <c r="D444" s="46" t="s">
        <v>23</v>
      </c>
      <c r="E444" s="52">
        <v>2.473</v>
      </c>
      <c r="F444" s="129"/>
      <c r="G444" s="129" t="str">
        <f>CONCATENATE(D444," - ",E444,", ")</f>
        <v>Brass scrap - 2.473, </v>
      </c>
      <c r="H444" s="261"/>
      <c r="I444" s="138" t="str">
        <f ca="1">IF(J443&gt;=3,(MID(I443,2,1)&amp;MID(I443,4,4)-K443),CELL("address",Z444))</f>
        <v>G445</v>
      </c>
      <c r="J444" s="138" t="str">
        <f ca="1">IF(J443&gt;=4,(MID(I444,1,1)&amp;MID(I444,2,4)+1),CELL("address",AA444))</f>
        <v>G446</v>
      </c>
      <c r="K444" s="138" t="str">
        <f ca="1">IF(J443&gt;=5,(MID(J444,1,1)&amp;MID(J444,2,4)+1),CELL("address",AB444))</f>
        <v>G447</v>
      </c>
      <c r="L444" s="138" t="str">
        <f ca="1">IF(J443&gt;=6,(MID(K444,1,1)&amp;MID(K444,2,4)+1),CELL("address",AC444))</f>
        <v>G448</v>
      </c>
      <c r="M444" s="138" t="str">
        <f ca="1">IF(J443&gt;=7,(MID(L444,1,1)&amp;MID(L444,2,4)+1),CELL("address",AD444))</f>
        <v>G449</v>
      </c>
      <c r="N444" s="138" t="str">
        <f ca="1">IF(J443&gt;=8,(MID(M444,1,1)&amp;MID(M444,2,4)+1),CELL("address",AE444))</f>
        <v>$AE$444</v>
      </c>
      <c r="O444" s="138" t="str">
        <f ca="1">IF(J443&gt;=9,(MID(N444,1,1)&amp;MID(N444,2,4)+1),CELL("address",AF444))</f>
        <v>$AF$444</v>
      </c>
      <c r="P444" s="138" t="str">
        <f ca="1">IF(J443&gt;=10,(MID(O444,1,1)&amp;MID(O444,2,4)+1),CELL("address",AG444))</f>
        <v>$AG$444</v>
      </c>
      <c r="Q444" s="138" t="str">
        <f ca="1">IF(J443&gt;=11,(MID(P444,1,1)&amp;MID(P444,2,4)+1),CELL("address",AH444))</f>
        <v>$AH$444</v>
      </c>
      <c r="R444" s="138" t="str">
        <f ca="1">IF(J443&gt;=12,(MID(Q444,1,1)&amp;MID(Q444,2,4)+1),CELL("address",AI444))</f>
        <v>$AI$444</v>
      </c>
    </row>
    <row r="445" spans="1:8" ht="15" customHeight="1">
      <c r="A445" s="246"/>
      <c r="B445" s="247"/>
      <c r="C445" s="251"/>
      <c r="D445" s="46" t="s">
        <v>24</v>
      </c>
      <c r="E445" s="52">
        <v>0.346</v>
      </c>
      <c r="F445" s="129"/>
      <c r="G445" s="129" t="str">
        <f>CONCATENATE(D445," - ",E445,", ")</f>
        <v>Misc. Aluminium scrap - 0.346, </v>
      </c>
      <c r="H445" s="142"/>
    </row>
    <row r="446" spans="1:8" ht="15" customHeight="1">
      <c r="A446" s="246"/>
      <c r="B446" s="247"/>
      <c r="C446" s="251"/>
      <c r="D446" s="45" t="s">
        <v>37</v>
      </c>
      <c r="E446" s="52">
        <v>0.298</v>
      </c>
      <c r="F446" s="129"/>
      <c r="G446" s="129" t="str">
        <f>CONCATENATE(D446," - ",E446,", ")</f>
        <v>Burnt Cu scrap - 0.298, </v>
      </c>
      <c r="H446" s="142"/>
    </row>
    <row r="447" spans="1:8" ht="15" customHeight="1">
      <c r="A447" s="246"/>
      <c r="B447" s="247"/>
      <c r="C447" s="251"/>
      <c r="D447" s="51" t="s">
        <v>32</v>
      </c>
      <c r="E447" s="52">
        <v>0.317</v>
      </c>
      <c r="F447" s="129"/>
      <c r="G447" s="129" t="str">
        <f>CONCATENATE(D447," - ",E447,", ")</f>
        <v>All Alumn. Conductor Scrap - 0.317, </v>
      </c>
      <c r="H447" s="142"/>
    </row>
    <row r="448" spans="1:8" ht="15" customHeight="1">
      <c r="A448" s="248"/>
      <c r="B448" s="249"/>
      <c r="C448" s="252"/>
      <c r="D448" s="46" t="s">
        <v>45</v>
      </c>
      <c r="E448" s="52">
        <v>0.238</v>
      </c>
      <c r="F448" s="129"/>
      <c r="G448" s="129" t="str">
        <f>CONCATENATE(D448," - ",E448,", ")</f>
        <v>Misc. Copper scrap - 0.238, </v>
      </c>
      <c r="H448" s="142"/>
    </row>
    <row r="449" spans="1:8" ht="15" customHeight="1">
      <c r="A449" s="56"/>
      <c r="B449" s="72"/>
      <c r="C449" s="190"/>
      <c r="D449" s="46"/>
      <c r="E449" s="52"/>
      <c r="F449" s="129"/>
      <c r="G449" s="129"/>
      <c r="H449" s="142"/>
    </row>
    <row r="450" spans="1:8" ht="15" customHeight="1">
      <c r="A450" s="238"/>
      <c r="B450" s="239"/>
      <c r="C450" s="83"/>
      <c r="D450" s="83"/>
      <c r="E450" s="84">
        <f>SUM(E452:E453)</f>
        <v>2.408</v>
      </c>
      <c r="F450" s="129"/>
      <c r="G450" s="129"/>
      <c r="H450" s="142"/>
    </row>
    <row r="451" spans="1:18" ht="15" customHeight="1">
      <c r="A451" s="231" t="s">
        <v>5</v>
      </c>
      <c r="B451" s="231"/>
      <c r="C451" s="80" t="s">
        <v>17</v>
      </c>
      <c r="D451" s="81" t="s">
        <v>18</v>
      </c>
      <c r="E451" s="80" t="s">
        <v>7</v>
      </c>
      <c r="F451" s="129"/>
      <c r="G451" s="131" t="str">
        <f>CONCATENATE("Misc. Healthy parts/ Non Ferrous  Scrap, Lying at ",C452,". Quantity in MT - ")</f>
        <v>Misc. Healthy parts/ Non Ferrous  Scrap, Lying at TRY Ferozepur. Quantity in MT - </v>
      </c>
      <c r="H451" s="261" t="str">
        <f ca="1">CONCATENATE(G451,G452,(INDIRECT(I452)),(INDIRECT(J452)),(INDIRECT(K452)),(INDIRECT(L452)),(INDIRECT(M452)),(INDIRECT(N452)),(INDIRECT(O452)),(INDIRECT(P452)),(INDIRECT(Q452)),(INDIRECT(R452)),".")</f>
        <v>Misc. Healthy parts/ Non Ferrous  Scrap, Lying at TRY Ferozepur. Quantity in MT - Brass scrap - 2.09, Misc. Alumn. Scrap - 0.318, .</v>
      </c>
      <c r="I451" s="138" t="str">
        <f aca="true" ca="1" t="array" ref="I451">CELL("address",INDEX(G451:G473,MATCH(TRUE,ISBLANK(G451:G473),0)))</f>
        <v>$G$454</v>
      </c>
      <c r="J451" s="138">
        <f aca="true" t="array" ref="J451">MATCH(TRUE,ISBLANK(G451:G473),0)</f>
        <v>4</v>
      </c>
      <c r="K451" s="138">
        <f>J451-3</f>
        <v>1</v>
      </c>
      <c r="L451" s="138"/>
      <c r="M451" s="138"/>
      <c r="N451" s="138"/>
      <c r="O451" s="138"/>
      <c r="P451" s="138"/>
      <c r="Q451" s="138"/>
      <c r="R451" s="138"/>
    </row>
    <row r="452" spans="1:18" ht="15" customHeight="1">
      <c r="A452" s="231" t="s">
        <v>38</v>
      </c>
      <c r="B452" s="231"/>
      <c r="C452" s="237" t="s">
        <v>42</v>
      </c>
      <c r="D452" s="51" t="s">
        <v>23</v>
      </c>
      <c r="E452" s="53">
        <v>2.09</v>
      </c>
      <c r="F452" s="129"/>
      <c r="G452" s="129" t="str">
        <f>CONCATENATE(D452," - ",E452,", ")</f>
        <v>Brass scrap - 2.09, </v>
      </c>
      <c r="H452" s="261"/>
      <c r="I452" s="138" t="str">
        <f ca="1">IF(J451&gt;=3,(MID(I451,2,1)&amp;MID(I451,4,4)-K451),CELL("address",Z452))</f>
        <v>G453</v>
      </c>
      <c r="J452" s="138" t="str">
        <f ca="1">IF(J451&gt;=4,(MID(I452,1,1)&amp;MID(I452,2,4)+1),CELL("address",AA452))</f>
        <v>G454</v>
      </c>
      <c r="K452" s="138" t="str">
        <f ca="1">IF(J451&gt;=5,(MID(J452,1,1)&amp;MID(J452,2,4)+1),CELL("address",AB452))</f>
        <v>$AB$452</v>
      </c>
      <c r="L452" s="138" t="str">
        <f ca="1">IF(J451&gt;=6,(MID(K452,1,1)&amp;MID(K452,2,4)+1),CELL("address",AC452))</f>
        <v>$AC$452</v>
      </c>
      <c r="M452" s="138" t="str">
        <f ca="1">IF(J451&gt;=7,(MID(L452,1,1)&amp;MID(L452,2,4)+1),CELL("address",AD452))</f>
        <v>$AD$452</v>
      </c>
      <c r="N452" s="138" t="str">
        <f ca="1">IF(J451&gt;=8,(MID(M452,1,1)&amp;MID(M452,2,4)+1),CELL("address",AE452))</f>
        <v>$AE$452</v>
      </c>
      <c r="O452" s="138" t="str">
        <f ca="1">IF(J451&gt;=9,(MID(N452,1,1)&amp;MID(N452,2,4)+1),CELL("address",AF452))</f>
        <v>$AF$452</v>
      </c>
      <c r="P452" s="138" t="str">
        <f ca="1">IF(J451&gt;=10,(MID(O452,1,1)&amp;MID(O452,2,4)+1),CELL("address",AG452))</f>
        <v>$AG$452</v>
      </c>
      <c r="Q452" s="138" t="str">
        <f ca="1">IF(J451&gt;=11,(MID(P452,1,1)&amp;MID(P452,2,4)+1),CELL("address",AH452))</f>
        <v>$AH$452</v>
      </c>
      <c r="R452" s="138" t="str">
        <f ca="1">IF(J451&gt;=12,(MID(Q452,1,1)&amp;MID(Q452,2,4)+1),CELL("address",AI452))</f>
        <v>$AI$452</v>
      </c>
    </row>
    <row r="453" spans="1:8" ht="15" customHeight="1">
      <c r="A453" s="231"/>
      <c r="B453" s="231"/>
      <c r="C453" s="237"/>
      <c r="D453" s="51" t="s">
        <v>31</v>
      </c>
      <c r="E453" s="53">
        <v>0.318</v>
      </c>
      <c r="F453" s="129"/>
      <c r="G453" s="129" t="str">
        <f>CONCATENATE(D453," - ",E453,", ")</f>
        <v>Misc. Alumn. Scrap - 0.318, </v>
      </c>
      <c r="H453" s="142"/>
    </row>
    <row r="454" spans="1:8" ht="15" customHeight="1">
      <c r="A454" s="232"/>
      <c r="B454" s="233"/>
      <c r="C454" s="184"/>
      <c r="D454" s="51"/>
      <c r="E454" s="53"/>
      <c r="F454" s="129"/>
      <c r="G454" s="129"/>
      <c r="H454" s="142"/>
    </row>
    <row r="455" spans="1:8" ht="15" customHeight="1">
      <c r="A455" s="238"/>
      <c r="B455" s="239"/>
      <c r="C455" s="83"/>
      <c r="D455" s="83"/>
      <c r="E455" s="84">
        <f>SUM(E457:E460)</f>
        <v>4.728999999999999</v>
      </c>
      <c r="F455" s="129"/>
      <c r="G455" s="129"/>
      <c r="H455" s="142"/>
    </row>
    <row r="456" spans="1:18" ht="15" customHeight="1">
      <c r="A456" s="232" t="s">
        <v>5</v>
      </c>
      <c r="B456" s="233"/>
      <c r="C456" s="80" t="s">
        <v>17</v>
      </c>
      <c r="D456" s="81" t="s">
        <v>18</v>
      </c>
      <c r="E456" s="80" t="s">
        <v>7</v>
      </c>
      <c r="F456" s="129"/>
      <c r="G456" s="131" t="str">
        <f>CONCATENATE("Misc. Healthy parts/ Non Ferrous  Scrap, Lying at ",C457,". Quantity in MT - ")</f>
        <v>Misc. Healthy parts/ Non Ferrous  Scrap, Lying at TRY Malerkotla. Quantity in MT - </v>
      </c>
      <c r="H456" s="261" t="str">
        <f ca="1">CONCATENATE(G456,G457,(INDIRECT(I457)),(INDIRECT(J457)),(INDIRECT(K457)),(INDIRECT(L457)),(INDIRECT(M457)),(INDIRECT(N457)),(INDIRECT(O457)),(INDIRECT(P457)),(INDIRECT(Q457)),(INDIRECT(R457)),".")</f>
        <v>Misc. Healthy parts/ Non Ferrous  Scrap, Lying at TRY Malerkotla. Quantity in MT - Brass scrap - 4.114, Misc. Aluminium scrap - 0.183, Burnt Aluminium scrap - 0.287, Burnt Cu scrap - 0.145, .</v>
      </c>
      <c r="I456" s="138" t="str">
        <f aca="true" ca="1" t="array" ref="I456">CELL("address",INDEX(G456:G478,MATCH(TRUE,ISBLANK(G456:G478),0)))</f>
        <v>$G$461</v>
      </c>
      <c r="J456" s="138">
        <f aca="true" t="array" ref="J456">MATCH(TRUE,ISBLANK(G456:G478),0)</f>
        <v>6</v>
      </c>
      <c r="K456" s="138">
        <f>J456-3</f>
        <v>3</v>
      </c>
      <c r="L456" s="138"/>
      <c r="M456" s="138"/>
      <c r="N456" s="138"/>
      <c r="O456" s="138"/>
      <c r="P456" s="138"/>
      <c r="Q456" s="138"/>
      <c r="R456" s="138"/>
    </row>
    <row r="457" spans="1:18" ht="15" customHeight="1">
      <c r="A457" s="231" t="s">
        <v>48</v>
      </c>
      <c r="B457" s="231"/>
      <c r="C457" s="237" t="s">
        <v>28</v>
      </c>
      <c r="D457" s="46" t="s">
        <v>23</v>
      </c>
      <c r="E457" s="52">
        <v>4.114</v>
      </c>
      <c r="F457" s="129"/>
      <c r="G457" s="129" t="str">
        <f>CONCATENATE(D457," - ",E457,", ")</f>
        <v>Brass scrap - 4.114, </v>
      </c>
      <c r="H457" s="261"/>
      <c r="I457" s="138" t="str">
        <f ca="1">IF(J456&gt;=3,(MID(I456,2,1)&amp;MID(I456,4,4)-K456),CELL("address",Z457))</f>
        <v>G458</v>
      </c>
      <c r="J457" s="138" t="str">
        <f ca="1">IF(J456&gt;=4,(MID(I457,1,1)&amp;MID(I457,2,4)+1),CELL("address",AA457))</f>
        <v>G459</v>
      </c>
      <c r="K457" s="138" t="str">
        <f ca="1">IF(J456&gt;=5,(MID(J457,1,1)&amp;MID(J457,2,4)+1),CELL("address",AB457))</f>
        <v>G460</v>
      </c>
      <c r="L457" s="138" t="str">
        <f ca="1">IF(J456&gt;=6,(MID(K457,1,1)&amp;MID(K457,2,4)+1),CELL("address",AC457))</f>
        <v>G461</v>
      </c>
      <c r="M457" s="138" t="str">
        <f ca="1">IF(J456&gt;=7,(MID(L457,1,1)&amp;MID(L457,2,4)+1),CELL("address",AD457))</f>
        <v>$AD$457</v>
      </c>
      <c r="N457" s="138" t="str">
        <f ca="1">IF(J456&gt;=8,(MID(M457,1,1)&amp;MID(M457,2,4)+1),CELL("address",AE457))</f>
        <v>$AE$457</v>
      </c>
      <c r="O457" s="138" t="str">
        <f ca="1">IF(J456&gt;=9,(MID(N457,1,1)&amp;MID(N457,2,4)+1),CELL("address",AF457))</f>
        <v>$AF$457</v>
      </c>
      <c r="P457" s="138" t="str">
        <f ca="1">IF(J456&gt;=10,(MID(O457,1,1)&amp;MID(O457,2,4)+1),CELL("address",AG457))</f>
        <v>$AG$457</v>
      </c>
      <c r="Q457" s="138" t="str">
        <f ca="1">IF(J456&gt;=11,(MID(P457,1,1)&amp;MID(P457,2,4)+1),CELL("address",AH457))</f>
        <v>$AH$457</v>
      </c>
      <c r="R457" s="138" t="str">
        <f ca="1">IF(J456&gt;=12,(MID(Q457,1,1)&amp;MID(Q457,2,4)+1),CELL("address",AI457))</f>
        <v>$AI$457</v>
      </c>
    </row>
    <row r="458" spans="1:8" ht="18" customHeight="1">
      <c r="A458" s="231"/>
      <c r="B458" s="231"/>
      <c r="C458" s="237"/>
      <c r="D458" s="46" t="s">
        <v>24</v>
      </c>
      <c r="E458" s="52">
        <v>0.183</v>
      </c>
      <c r="F458" s="129"/>
      <c r="G458" s="129" t="str">
        <f>CONCATENATE(D458," - ",E458,", ")</f>
        <v>Misc. Aluminium scrap - 0.183, </v>
      </c>
      <c r="H458" s="142"/>
    </row>
    <row r="459" spans="1:8" ht="19.5" customHeight="1">
      <c r="A459" s="231"/>
      <c r="B459" s="231"/>
      <c r="C459" s="237"/>
      <c r="D459" s="46" t="s">
        <v>41</v>
      </c>
      <c r="E459" s="52">
        <v>0.287</v>
      </c>
      <c r="F459" s="129"/>
      <c r="G459" s="129" t="str">
        <f>CONCATENATE(D459," - ",E459,", ")</f>
        <v>Burnt Aluminium scrap - 0.287, </v>
      </c>
      <c r="H459" s="142"/>
    </row>
    <row r="460" spans="1:8" ht="15" customHeight="1">
      <c r="A460" s="231"/>
      <c r="B460" s="231"/>
      <c r="C460" s="237"/>
      <c r="D460" s="46" t="s">
        <v>37</v>
      </c>
      <c r="E460" s="80">
        <v>0.145</v>
      </c>
      <c r="F460" s="129"/>
      <c r="G460" s="129" t="str">
        <f>CONCATENATE(D460," - ",E460,", ")</f>
        <v>Burnt Cu scrap - 0.145, </v>
      </c>
      <c r="H460" s="142"/>
    </row>
    <row r="461" spans="1:8" ht="15" customHeight="1">
      <c r="A461" s="45"/>
      <c r="B461" s="48"/>
      <c r="C461" s="184"/>
      <c r="D461" s="46"/>
      <c r="E461" s="80"/>
      <c r="F461" s="129"/>
      <c r="G461" s="129"/>
      <c r="H461" s="142"/>
    </row>
    <row r="462" spans="1:8" ht="15" customHeight="1">
      <c r="A462" s="238"/>
      <c r="B462" s="239"/>
      <c r="C462" s="83"/>
      <c r="D462" s="83"/>
      <c r="E462" s="84">
        <f>SUM(E464:E467)</f>
        <v>0.418</v>
      </c>
      <c r="F462" s="129"/>
      <c r="G462" s="129"/>
      <c r="H462" s="142"/>
    </row>
    <row r="463" spans="1:18" ht="15" customHeight="1">
      <c r="A463" s="231" t="s">
        <v>5</v>
      </c>
      <c r="B463" s="231"/>
      <c r="C463" s="80" t="s">
        <v>17</v>
      </c>
      <c r="D463" s="81" t="s">
        <v>18</v>
      </c>
      <c r="E463" s="80" t="s">
        <v>7</v>
      </c>
      <c r="F463" s="129"/>
      <c r="G463" s="131" t="str">
        <f>CONCATENATE("Misc. Healthy parts/ Non Ferrous  Scrap, Lying at ",C464,". Quantity in MT - ")</f>
        <v>Misc. Healthy parts/ Non Ferrous  Scrap, Lying at CS Mohali. Quantity in MT - </v>
      </c>
      <c r="H463" s="261" t="str">
        <f ca="1">CONCATENATE(G463,G464,(INDIRECT(I464)),(INDIRECT(J464)),(INDIRECT(K464)),(INDIRECT(L464)),(INDIRECT(M464)),(INDIRECT(N464)),(INDIRECT(O464)),(INDIRECT(P464)),(INDIRECT(Q464)),(INDIRECT(R464)),".")</f>
        <v>Misc. Healthy parts/ Non Ferrous  Scrap, Lying at CS Mohali. Quantity in MT - Misc. Copper scrap - 0.313, Burnt Cu scrap - 0.041, All Alumn. Conductor Scrap - 0.054, Brass scrap - 0.01, .</v>
      </c>
      <c r="I463" s="138" t="str">
        <f aca="true" ca="1" t="array" ref="I463">CELL("address",INDEX(G463:G485,MATCH(TRUE,ISBLANK(G463:G485),0)))</f>
        <v>$G$468</v>
      </c>
      <c r="J463" s="138">
        <f aca="true" t="array" ref="J463">MATCH(TRUE,ISBLANK(G463:G485),0)</f>
        <v>6</v>
      </c>
      <c r="K463" s="138">
        <f>J463-3</f>
        <v>3</v>
      </c>
      <c r="L463" s="138"/>
      <c r="M463" s="138"/>
      <c r="N463" s="138"/>
      <c r="O463" s="138"/>
      <c r="P463" s="138"/>
      <c r="Q463" s="138"/>
      <c r="R463" s="138"/>
    </row>
    <row r="464" spans="1:18" ht="15" customHeight="1">
      <c r="A464" s="231" t="s">
        <v>39</v>
      </c>
      <c r="B464" s="231"/>
      <c r="C464" s="237" t="s">
        <v>63</v>
      </c>
      <c r="D464" s="46" t="s">
        <v>45</v>
      </c>
      <c r="E464" s="52">
        <v>0.313</v>
      </c>
      <c r="F464" s="129"/>
      <c r="G464" s="129" t="str">
        <f>CONCATENATE(D464," - ",E464,", ")</f>
        <v>Misc. Copper scrap - 0.313, </v>
      </c>
      <c r="H464" s="261"/>
      <c r="I464" s="138" t="str">
        <f ca="1">IF(J463&gt;=3,(MID(I463,2,1)&amp;MID(I463,4,4)-K463),CELL("address",Z464))</f>
        <v>G465</v>
      </c>
      <c r="J464" s="138" t="str">
        <f ca="1">IF(J463&gt;=4,(MID(I464,1,1)&amp;MID(I464,2,4)+1),CELL("address",AA464))</f>
        <v>G466</v>
      </c>
      <c r="K464" s="138" t="str">
        <f ca="1">IF(J463&gt;=5,(MID(J464,1,1)&amp;MID(J464,2,4)+1),CELL("address",AB464))</f>
        <v>G467</v>
      </c>
      <c r="L464" s="138" t="str">
        <f ca="1">IF(J463&gt;=6,(MID(K464,1,1)&amp;MID(K464,2,4)+1),CELL("address",AC464))</f>
        <v>G468</v>
      </c>
      <c r="M464" s="138" t="str">
        <f ca="1">IF(J463&gt;=7,(MID(L464,1,1)&amp;MID(L464,2,4)+1),CELL("address",AD464))</f>
        <v>$AD$464</v>
      </c>
      <c r="N464" s="138" t="str">
        <f ca="1">IF(J463&gt;=8,(MID(M464,1,1)&amp;MID(M464,2,4)+1),CELL("address",AE464))</f>
        <v>$AE$464</v>
      </c>
      <c r="O464" s="138" t="str">
        <f ca="1">IF(J463&gt;=9,(MID(N464,1,1)&amp;MID(N464,2,4)+1),CELL("address",AF464))</f>
        <v>$AF$464</v>
      </c>
      <c r="P464" s="138" t="str">
        <f ca="1">IF(J463&gt;=10,(MID(O464,1,1)&amp;MID(O464,2,4)+1),CELL("address",AG464))</f>
        <v>$AG$464</v>
      </c>
      <c r="Q464" s="138" t="str">
        <f ca="1">IF(J463&gt;=11,(MID(P464,1,1)&amp;MID(P464,2,4)+1),CELL("address",AH464))</f>
        <v>$AH$464</v>
      </c>
      <c r="R464" s="138" t="str">
        <f ca="1">IF(J463&gt;=12,(MID(Q464,1,1)&amp;MID(Q464,2,4)+1),CELL("address",AI464))</f>
        <v>$AI$464</v>
      </c>
    </row>
    <row r="465" spans="1:8" ht="15" customHeight="1">
      <c r="A465" s="231"/>
      <c r="B465" s="231"/>
      <c r="C465" s="237"/>
      <c r="D465" s="45" t="s">
        <v>37</v>
      </c>
      <c r="E465" s="52">
        <v>0.041</v>
      </c>
      <c r="F465" s="129"/>
      <c r="G465" s="129" t="str">
        <f>CONCATENATE(D465," - ",E465,", ")</f>
        <v>Burnt Cu scrap - 0.041, </v>
      </c>
      <c r="H465" s="142"/>
    </row>
    <row r="466" spans="1:8" ht="15" customHeight="1">
      <c r="A466" s="231"/>
      <c r="B466" s="231"/>
      <c r="C466" s="237"/>
      <c r="D466" s="51" t="s">
        <v>32</v>
      </c>
      <c r="E466" s="52">
        <v>0.054</v>
      </c>
      <c r="F466" s="129"/>
      <c r="G466" s="129" t="str">
        <f>CONCATENATE(D466," - ",E466,", ")</f>
        <v>All Alumn. Conductor Scrap - 0.054, </v>
      </c>
      <c r="H466" s="142"/>
    </row>
    <row r="467" spans="1:8" ht="15" customHeight="1">
      <c r="A467" s="231"/>
      <c r="B467" s="231"/>
      <c r="C467" s="237"/>
      <c r="D467" s="46" t="s">
        <v>23</v>
      </c>
      <c r="E467" s="52">
        <v>0.01</v>
      </c>
      <c r="F467" s="129"/>
      <c r="G467" s="129" t="str">
        <f>CONCATENATE(D467," - ",E467,", ")</f>
        <v>Brass scrap - 0.01, </v>
      </c>
      <c r="H467" s="142"/>
    </row>
    <row r="468" spans="1:8" ht="15" customHeight="1">
      <c r="A468" s="45"/>
      <c r="B468" s="48"/>
      <c r="C468" s="184"/>
      <c r="D468" s="46"/>
      <c r="E468" s="52"/>
      <c r="F468" s="129"/>
      <c r="G468" s="129"/>
      <c r="H468" s="142"/>
    </row>
    <row r="469" spans="1:8" ht="15" customHeight="1">
      <c r="A469" s="232"/>
      <c r="B469" s="233"/>
      <c r="C469" s="184"/>
      <c r="D469" s="46"/>
      <c r="E469" s="84">
        <f>E471</f>
        <v>0.089</v>
      </c>
      <c r="F469" s="129"/>
      <c r="G469" s="129"/>
      <c r="H469" s="142"/>
    </row>
    <row r="470" spans="1:18" ht="15" customHeight="1">
      <c r="A470" s="231" t="s">
        <v>5</v>
      </c>
      <c r="B470" s="231"/>
      <c r="C470" s="80" t="s">
        <v>17</v>
      </c>
      <c r="D470" s="81" t="s">
        <v>18</v>
      </c>
      <c r="E470" s="80" t="s">
        <v>7</v>
      </c>
      <c r="F470" s="129"/>
      <c r="G470" s="131" t="str">
        <f>CONCATENATE("Misc. Healthy parts/ Non Ferrous  Scrap, Lying at ",C471,". Quantity in MT - ")</f>
        <v>Misc. Healthy parts/ Non Ferrous  Scrap, Lying at OL store Nabha. Quantity in MT - </v>
      </c>
      <c r="H470" s="261" t="str">
        <f ca="1">CONCATENATE(G470,G471,(INDIRECT(I471)),(INDIRECT(J471)),(INDIRECT(K471)),(INDIRECT(L471)),(INDIRECT(M471)),(INDIRECT(N471)),(INDIRECT(O471)),(INDIRECT(P471)),(INDIRECT(Q471)),(INDIRECT(R471)),".")</f>
        <v>Misc. Healthy parts/ Non Ferrous  Scrap, Lying at OL store Nabha. Quantity in MT - Misc. Copper scrap - 0.089, .</v>
      </c>
      <c r="I470" s="138" t="str">
        <f aca="true" ca="1" t="array" ref="I470">CELL("address",INDEX(G470:G492,MATCH(TRUE,ISBLANK(G470:G492),0)))</f>
        <v>$G$472</v>
      </c>
      <c r="J470" s="138">
        <f aca="true" t="array" ref="J470">MATCH(TRUE,ISBLANK(G470:G492),0)</f>
        <v>3</v>
      </c>
      <c r="K470" s="138">
        <f>J470-3</f>
        <v>0</v>
      </c>
      <c r="L470" s="138"/>
      <c r="M470" s="138"/>
      <c r="N470" s="138"/>
      <c r="O470" s="138"/>
      <c r="P470" s="138"/>
      <c r="Q470" s="138"/>
      <c r="R470" s="138"/>
    </row>
    <row r="471" spans="1:18" ht="15" customHeight="1">
      <c r="A471" s="231" t="s">
        <v>40</v>
      </c>
      <c r="B471" s="231"/>
      <c r="C471" s="184" t="s">
        <v>104</v>
      </c>
      <c r="D471" s="46" t="s">
        <v>45</v>
      </c>
      <c r="E471" s="52">
        <v>0.089</v>
      </c>
      <c r="F471" s="129"/>
      <c r="G471" s="129" t="str">
        <f>CONCATENATE(D471," - ",E471,", ")</f>
        <v>Misc. Copper scrap - 0.089, </v>
      </c>
      <c r="H471" s="261"/>
      <c r="I471" s="138" t="str">
        <f ca="1">IF(J470&gt;=3,(MID(I470,2,1)&amp;MID(I470,4,4)-K470),CELL("address",Z471))</f>
        <v>G472</v>
      </c>
      <c r="J471" s="138" t="str">
        <f ca="1">IF(J470&gt;=4,(MID(I471,1,1)&amp;MID(I471,2,4)+1),CELL("address",AA471))</f>
        <v>$AA$471</v>
      </c>
      <c r="K471" s="138" t="str">
        <f ca="1">IF(J470&gt;=5,(MID(J471,1,1)&amp;MID(J471,2,4)+1),CELL("address",AB471))</f>
        <v>$AB$471</v>
      </c>
      <c r="L471" s="138" t="str">
        <f ca="1">IF(J470&gt;=6,(MID(K471,1,1)&amp;MID(K471,2,4)+1),CELL("address",AC471))</f>
        <v>$AC$471</v>
      </c>
      <c r="M471" s="138" t="str">
        <f ca="1">IF(J470&gt;=7,(MID(L471,1,1)&amp;MID(L471,2,4)+1),CELL("address",AD471))</f>
        <v>$AD$471</v>
      </c>
      <c r="N471" s="138" t="str">
        <f ca="1">IF(J470&gt;=8,(MID(M471,1,1)&amp;MID(M471,2,4)+1),CELL("address",AE471))</f>
        <v>$AE$471</v>
      </c>
      <c r="O471" s="138" t="str">
        <f ca="1">IF(J470&gt;=9,(MID(N471,1,1)&amp;MID(N471,2,4)+1),CELL("address",AF471))</f>
        <v>$AF$471</v>
      </c>
      <c r="P471" s="138" t="str">
        <f ca="1">IF(J470&gt;=10,(MID(O471,1,1)&amp;MID(O471,2,4)+1),CELL("address",AG471))</f>
        <v>$AG$471</v>
      </c>
      <c r="Q471" s="138" t="str">
        <f ca="1">IF(J470&gt;=11,(MID(P471,1,1)&amp;MID(P471,2,4)+1),CELL("address",AH471))</f>
        <v>$AH$471</v>
      </c>
      <c r="R471" s="138" t="str">
        <f ca="1">IF(J470&gt;=12,(MID(Q471,1,1)&amp;MID(Q471,2,4)+1),CELL("address",AI471))</f>
        <v>$AI$471</v>
      </c>
    </row>
    <row r="472" spans="1:8" ht="15" customHeight="1">
      <c r="A472" s="45"/>
      <c r="B472" s="48"/>
      <c r="C472" s="184"/>
      <c r="D472" s="46"/>
      <c r="E472" s="52"/>
      <c r="F472" s="129"/>
      <c r="G472" s="129"/>
      <c r="H472" s="142"/>
    </row>
    <row r="473" spans="1:8" ht="15" customHeight="1">
      <c r="A473" s="232"/>
      <c r="B473" s="233"/>
      <c r="C473" s="184"/>
      <c r="D473" s="46"/>
      <c r="E473" s="84">
        <f>E475</f>
        <v>0.092</v>
      </c>
      <c r="F473" s="129"/>
      <c r="G473" s="129"/>
      <c r="H473" s="142"/>
    </row>
    <row r="474" spans="1:18" ht="15" customHeight="1">
      <c r="A474" s="231" t="s">
        <v>5</v>
      </c>
      <c r="B474" s="231"/>
      <c r="C474" s="80" t="s">
        <v>17</v>
      </c>
      <c r="D474" s="81" t="s">
        <v>18</v>
      </c>
      <c r="E474" s="80" t="s">
        <v>7</v>
      </c>
      <c r="F474" s="129"/>
      <c r="G474" s="131" t="str">
        <f>CONCATENATE("Misc. Healthy parts/ Non Ferrous  Scrap, Lying at ",C475,". Quantity in MT - ")</f>
        <v>Misc. Healthy parts/ Non Ferrous  Scrap, Lying at OL store Patran. Quantity in MT - </v>
      </c>
      <c r="H474" s="261" t="str">
        <f ca="1">CONCATENATE(G474,G475,(INDIRECT(I475)),(INDIRECT(J475)),(INDIRECT(K475)),(INDIRECT(L475)),(INDIRECT(M475)),(INDIRECT(N475)),(INDIRECT(O475)),(INDIRECT(P475)),(INDIRECT(Q475)),(INDIRECT(R475)),".")</f>
        <v>Misc. Healthy parts/ Non Ferrous  Scrap, Lying at OL store Patran. Quantity in MT - Misc. Copper scrap - 0.092, .</v>
      </c>
      <c r="I474" s="138" t="str">
        <f aca="true" ca="1" t="array" ref="I474">CELL("address",INDEX(G474:G496,MATCH(TRUE,ISBLANK(G474:G496),0)))</f>
        <v>$G$476</v>
      </c>
      <c r="J474" s="138">
        <f aca="true" t="array" ref="J474">MATCH(TRUE,ISBLANK(G474:G496),0)</f>
        <v>3</v>
      </c>
      <c r="K474" s="138">
        <f>J474-3</f>
        <v>0</v>
      </c>
      <c r="L474" s="138"/>
      <c r="M474" s="138"/>
      <c r="N474" s="138"/>
      <c r="O474" s="138"/>
      <c r="P474" s="138"/>
      <c r="Q474" s="138"/>
      <c r="R474" s="138"/>
    </row>
    <row r="475" spans="1:18" ht="15" customHeight="1">
      <c r="A475" s="231" t="s">
        <v>81</v>
      </c>
      <c r="B475" s="231"/>
      <c r="C475" s="184" t="s">
        <v>102</v>
      </c>
      <c r="D475" s="46" t="s">
        <v>45</v>
      </c>
      <c r="E475" s="52">
        <v>0.092</v>
      </c>
      <c r="F475" s="129"/>
      <c r="G475" s="129" t="str">
        <f>CONCATENATE(D475," - ",E475,", ")</f>
        <v>Misc. Copper scrap - 0.092, </v>
      </c>
      <c r="H475" s="261"/>
      <c r="I475" s="138" t="str">
        <f ca="1">IF(J474&gt;=3,(MID(I474,2,1)&amp;MID(I474,4,4)-K474),CELL("address",Z475))</f>
        <v>G476</v>
      </c>
      <c r="J475" s="138" t="str">
        <f ca="1">IF(J474&gt;=4,(MID(I475,1,1)&amp;MID(I475,2,4)+1),CELL("address",AA475))</f>
        <v>$AA$475</v>
      </c>
      <c r="K475" s="138" t="str">
        <f ca="1">IF(J474&gt;=5,(MID(J475,1,1)&amp;MID(J475,2,4)+1),CELL("address",AB475))</f>
        <v>$AB$475</v>
      </c>
      <c r="L475" s="138" t="str">
        <f ca="1">IF(J474&gt;=6,(MID(K475,1,1)&amp;MID(K475,2,4)+1),CELL("address",AC475))</f>
        <v>$AC$475</v>
      </c>
      <c r="M475" s="138" t="str">
        <f ca="1">IF(J474&gt;=7,(MID(L475,1,1)&amp;MID(L475,2,4)+1),CELL("address",AD475))</f>
        <v>$AD$475</v>
      </c>
      <c r="N475" s="138" t="str">
        <f ca="1">IF(J474&gt;=8,(MID(M475,1,1)&amp;MID(M475,2,4)+1),CELL("address",AE475))</f>
        <v>$AE$475</v>
      </c>
      <c r="O475" s="138" t="str">
        <f ca="1">IF(J474&gt;=9,(MID(N475,1,1)&amp;MID(N475,2,4)+1),CELL("address",AF475))</f>
        <v>$AF$475</v>
      </c>
      <c r="P475" s="138" t="str">
        <f ca="1">IF(J474&gt;=10,(MID(O475,1,1)&amp;MID(O475,2,4)+1),CELL("address",AG475))</f>
        <v>$AG$475</v>
      </c>
      <c r="Q475" s="138" t="str">
        <f ca="1">IF(J474&gt;=11,(MID(P475,1,1)&amp;MID(P475,2,4)+1),CELL("address",AH475))</f>
        <v>$AH$475</v>
      </c>
      <c r="R475" s="138" t="str">
        <f ca="1">IF(J474&gt;=12,(MID(Q475,1,1)&amp;MID(Q475,2,4)+1),CELL("address",AI475))</f>
        <v>$AI$475</v>
      </c>
    </row>
    <row r="476" spans="1:8" ht="15" customHeight="1">
      <c r="A476" s="56"/>
      <c r="B476" s="72"/>
      <c r="C476" s="190"/>
      <c r="D476" s="46"/>
      <c r="E476" s="52"/>
      <c r="F476" s="129"/>
      <c r="G476" s="129"/>
      <c r="H476" s="142"/>
    </row>
    <row r="477" spans="1:8" ht="15" customHeight="1">
      <c r="A477" s="56"/>
      <c r="B477" s="72"/>
      <c r="C477" s="190"/>
      <c r="D477" s="51"/>
      <c r="E477" s="84">
        <f>SUM(E479:E481)</f>
        <v>0.30300000000000005</v>
      </c>
      <c r="F477" s="129"/>
      <c r="G477" s="129"/>
      <c r="H477" s="142"/>
    </row>
    <row r="478" spans="1:18" ht="15" customHeight="1">
      <c r="A478" s="231" t="s">
        <v>5</v>
      </c>
      <c r="B478" s="231"/>
      <c r="C478" s="80" t="s">
        <v>17</v>
      </c>
      <c r="D478" s="81" t="s">
        <v>18</v>
      </c>
      <c r="E478" s="80" t="s">
        <v>7</v>
      </c>
      <c r="F478" s="129"/>
      <c r="G478" s="131" t="str">
        <f>CONCATENATE("Misc. Healthy parts/ Non Ferrous  Scrap, Lying at ",C479,". Quantity in MT - ")</f>
        <v>Misc. Healthy parts/ Non Ferrous  Scrap, Lying at CS Patiala. Quantity in MT - </v>
      </c>
      <c r="H478" s="261" t="str">
        <f ca="1">CONCATENATE(G478,G479,(INDIRECT(I479)),(INDIRECT(J479)),(INDIRECT(K479)),(INDIRECT(L479)),(INDIRECT(M479)),(INDIRECT(N479)),(INDIRECT(O479)),(INDIRECT(P479)),(INDIRECT(Q479)),(INDIRECT(R479)),".")</f>
        <v>Misc. Healthy parts/ Non Ferrous  Scrap, Lying at CS Patiala. Quantity in MT - Misc. Alumn. Scrap - 0.063, Misc. copper scrap - 0.218, Burnt copper scrap - 0.022, .</v>
      </c>
      <c r="I478" s="138" t="str">
        <f aca="true" ca="1" t="array" ref="I478">CELL("address",INDEX(G478:G500,MATCH(TRUE,ISBLANK(G478:G500),0)))</f>
        <v>$G$482</v>
      </c>
      <c r="J478" s="138">
        <f aca="true" t="array" ref="J478">MATCH(TRUE,ISBLANK(G478:G500),0)</f>
        <v>5</v>
      </c>
      <c r="K478" s="138">
        <f>J478-3</f>
        <v>2</v>
      </c>
      <c r="L478" s="138"/>
      <c r="M478" s="138"/>
      <c r="N478" s="138"/>
      <c r="O478" s="138"/>
      <c r="P478" s="138"/>
      <c r="Q478" s="138"/>
      <c r="R478" s="138"/>
    </row>
    <row r="479" spans="1:18" ht="15" customHeight="1">
      <c r="A479" s="244" t="s">
        <v>52</v>
      </c>
      <c r="B479" s="245"/>
      <c r="C479" s="250" t="s">
        <v>53</v>
      </c>
      <c r="D479" s="74" t="s">
        <v>31</v>
      </c>
      <c r="E479" s="53">
        <v>0.063</v>
      </c>
      <c r="F479" s="129"/>
      <c r="G479" s="129" t="str">
        <f>CONCATENATE(D479," - ",E479,", ")</f>
        <v>Misc. Alumn. Scrap - 0.063, </v>
      </c>
      <c r="H479" s="261"/>
      <c r="I479" s="138" t="str">
        <f ca="1">IF(J478&gt;=3,(MID(I478,2,1)&amp;MID(I478,4,4)-K478),CELL("address",Z479))</f>
        <v>G480</v>
      </c>
      <c r="J479" s="138" t="str">
        <f ca="1">IF(J478&gt;=4,(MID(I479,1,1)&amp;MID(I479,2,4)+1),CELL("address",AA479))</f>
        <v>G481</v>
      </c>
      <c r="K479" s="138" t="str">
        <f ca="1">IF(J478&gt;=5,(MID(J479,1,1)&amp;MID(J479,2,4)+1),CELL("address",AB479))</f>
        <v>G482</v>
      </c>
      <c r="L479" s="138" t="str">
        <f ca="1">IF(J478&gt;=6,(MID(K479,1,1)&amp;MID(K479,2,4)+1),CELL("address",AC479))</f>
        <v>$AC$479</v>
      </c>
      <c r="M479" s="138" t="str">
        <f ca="1">IF(J478&gt;=7,(MID(L479,1,1)&amp;MID(L479,2,4)+1),CELL("address",AD479))</f>
        <v>$AD$479</v>
      </c>
      <c r="N479" s="138" t="str">
        <f ca="1">IF(J478&gt;=8,(MID(M479,1,1)&amp;MID(M479,2,4)+1),CELL("address",AE479))</f>
        <v>$AE$479</v>
      </c>
      <c r="O479" s="138" t="str">
        <f ca="1">IF(J478&gt;=9,(MID(N479,1,1)&amp;MID(N479,2,4)+1),CELL("address",AF479))</f>
        <v>$AF$479</v>
      </c>
      <c r="P479" s="138" t="str">
        <f ca="1">IF(J478&gt;=10,(MID(O479,1,1)&amp;MID(O479,2,4)+1),CELL("address",AG479))</f>
        <v>$AG$479</v>
      </c>
      <c r="Q479" s="138" t="str">
        <f ca="1">IF(J478&gt;=11,(MID(P479,1,1)&amp;MID(P479,2,4)+1),CELL("address",AH479))</f>
        <v>$AH$479</v>
      </c>
      <c r="R479" s="138" t="str">
        <f ca="1">IF(J478&gt;=12,(MID(Q479,1,1)&amp;MID(Q479,2,4)+1),CELL("address",AI479))</f>
        <v>$AI$479</v>
      </c>
    </row>
    <row r="480" spans="1:8" ht="15" customHeight="1">
      <c r="A480" s="246"/>
      <c r="B480" s="247"/>
      <c r="C480" s="251"/>
      <c r="D480" s="74" t="s">
        <v>113</v>
      </c>
      <c r="E480" s="80">
        <v>0.218</v>
      </c>
      <c r="F480" s="129"/>
      <c r="G480" s="129" t="str">
        <f>CONCATENATE(D480," - ",E480,", ")</f>
        <v>Misc. copper scrap - 0.218, </v>
      </c>
      <c r="H480" s="142"/>
    </row>
    <row r="481" spans="1:8" ht="15" customHeight="1">
      <c r="A481" s="248"/>
      <c r="B481" s="249"/>
      <c r="C481" s="252"/>
      <c r="D481" s="74" t="s">
        <v>47</v>
      </c>
      <c r="E481" s="80">
        <v>0.022</v>
      </c>
      <c r="F481" s="129"/>
      <c r="G481" s="129" t="str">
        <f>CONCATENATE(D481," - ",E481,", ")</f>
        <v>Burnt copper scrap - 0.022, </v>
      </c>
      <c r="H481" s="142"/>
    </row>
    <row r="482" spans="1:8" ht="15" customHeight="1">
      <c r="A482" s="232"/>
      <c r="B482" s="233"/>
      <c r="C482" s="184"/>
      <c r="D482" s="74"/>
      <c r="E482" s="80"/>
      <c r="F482" s="129"/>
      <c r="G482" s="129"/>
      <c r="H482" s="142"/>
    </row>
    <row r="483" spans="1:8" ht="15" customHeight="1">
      <c r="A483" s="238"/>
      <c r="B483" s="239"/>
      <c r="C483" s="83"/>
      <c r="D483" s="83"/>
      <c r="E483" s="84">
        <f>SUM(E485:E489)</f>
        <v>4.696000000000001</v>
      </c>
      <c r="F483" s="129"/>
      <c r="G483" s="129"/>
      <c r="H483" s="142"/>
    </row>
    <row r="484" spans="1:18" ht="15" customHeight="1">
      <c r="A484" s="244" t="s">
        <v>5</v>
      </c>
      <c r="B484" s="245"/>
      <c r="C484" s="80" t="s">
        <v>17</v>
      </c>
      <c r="D484" s="81" t="s">
        <v>18</v>
      </c>
      <c r="E484" s="85" t="s">
        <v>7</v>
      </c>
      <c r="F484" s="129"/>
      <c r="G484" s="131" t="str">
        <f>CONCATENATE("Misc. Healthy parts/ Non Ferrous  Scrap, Lying at ",C485,". Quantity in MT - ")</f>
        <v>Misc. Healthy parts/ Non Ferrous  Scrap, Lying at CS Kotkapura. Quantity in MT - </v>
      </c>
      <c r="H484" s="261" t="str">
        <f ca="1">CONCATENATE(G484,G485,(INDIRECT(I485)),(INDIRECT(J485)),(INDIRECT(K485)),(INDIRECT(L485)),(INDIRECT(M485)),(INDIRECT(N485)),(INDIRECT(O485)),(INDIRECT(P485)),(INDIRECT(Q485)),(INDIRECT(R485)),".")</f>
        <v>Misc. Healthy parts/ Non Ferrous  Scrap, Lying at CS Kotkapura. Quantity in MT - Brass scrap - 4.046, Misc. Copper scrap - 0.065, Burnt Cu scrap - 0.325, Misc. Aluminium scrap - 0.205, Burnt Aluminium scrap - 0.055, .</v>
      </c>
      <c r="I484" s="138" t="str">
        <f aca="true" ca="1" t="array" ref="I484">CELL("address",INDEX(G484:G506,MATCH(TRUE,ISBLANK(G484:G506),0)))</f>
        <v>$G$490</v>
      </c>
      <c r="J484" s="138">
        <f aca="true" t="array" ref="J484">MATCH(TRUE,ISBLANK(G484:G506),0)</f>
        <v>7</v>
      </c>
      <c r="K484" s="138">
        <f>J484-3</f>
        <v>4</v>
      </c>
      <c r="L484" s="138"/>
      <c r="M484" s="138"/>
      <c r="N484" s="138"/>
      <c r="O484" s="138"/>
      <c r="P484" s="138"/>
      <c r="Q484" s="138"/>
      <c r="R484" s="138"/>
    </row>
    <row r="485" spans="1:18" ht="15" customHeight="1">
      <c r="A485" s="244" t="s">
        <v>44</v>
      </c>
      <c r="B485" s="245"/>
      <c r="C485" s="250" t="s">
        <v>43</v>
      </c>
      <c r="D485" s="46" t="s">
        <v>23</v>
      </c>
      <c r="E485" s="86">
        <v>4.046</v>
      </c>
      <c r="F485" s="129"/>
      <c r="G485" s="129" t="str">
        <f>CONCATENATE(D485," - ",E485,", ")</f>
        <v>Brass scrap - 4.046, </v>
      </c>
      <c r="H485" s="261"/>
      <c r="I485" s="138" t="str">
        <f ca="1">IF(J484&gt;=3,(MID(I484,2,1)&amp;MID(I484,4,4)-K484),CELL("address",Z485))</f>
        <v>G486</v>
      </c>
      <c r="J485" s="138" t="str">
        <f ca="1">IF(J484&gt;=4,(MID(I485,1,1)&amp;MID(I485,2,4)+1),CELL("address",AA485))</f>
        <v>G487</v>
      </c>
      <c r="K485" s="138" t="str">
        <f ca="1">IF(J484&gt;=5,(MID(J485,1,1)&amp;MID(J485,2,4)+1),CELL("address",AB485))</f>
        <v>G488</v>
      </c>
      <c r="L485" s="138" t="str">
        <f ca="1">IF(J484&gt;=6,(MID(K485,1,1)&amp;MID(K485,2,4)+1),CELL("address",AC485))</f>
        <v>G489</v>
      </c>
      <c r="M485" s="138" t="str">
        <f ca="1">IF(J484&gt;=7,(MID(L485,1,1)&amp;MID(L485,2,4)+1),CELL("address",AD485))</f>
        <v>G490</v>
      </c>
      <c r="N485" s="138" t="str">
        <f ca="1">IF(J484&gt;=8,(MID(M485,1,1)&amp;MID(M485,2,4)+1),CELL("address",AE485))</f>
        <v>$AE$485</v>
      </c>
      <c r="O485" s="138" t="str">
        <f ca="1">IF(J484&gt;=9,(MID(N485,1,1)&amp;MID(N485,2,4)+1),CELL("address",AF485))</f>
        <v>$AF$485</v>
      </c>
      <c r="P485" s="138" t="str">
        <f ca="1">IF(J484&gt;=10,(MID(O485,1,1)&amp;MID(O485,2,4)+1),CELL("address",AG485))</f>
        <v>$AG$485</v>
      </c>
      <c r="Q485" s="138" t="str">
        <f ca="1">IF(J484&gt;=11,(MID(P485,1,1)&amp;MID(P485,2,4)+1),CELL("address",AH485))</f>
        <v>$AH$485</v>
      </c>
      <c r="R485" s="138" t="str">
        <f ca="1">IF(J484&gt;=12,(MID(Q485,1,1)&amp;MID(Q485,2,4)+1),CELL("address",AI485))</f>
        <v>$AI$485</v>
      </c>
    </row>
    <row r="486" spans="1:8" ht="15" customHeight="1">
      <c r="A486" s="246"/>
      <c r="B486" s="247"/>
      <c r="C486" s="251"/>
      <c r="D486" s="46" t="s">
        <v>45</v>
      </c>
      <c r="E486" s="86">
        <v>0.065</v>
      </c>
      <c r="F486" s="129"/>
      <c r="G486" s="129" t="str">
        <f>CONCATENATE(D486," - ",E486,", ")</f>
        <v>Misc. Copper scrap - 0.065, </v>
      </c>
      <c r="H486" s="142"/>
    </row>
    <row r="487" spans="1:8" ht="15" customHeight="1">
      <c r="A487" s="246"/>
      <c r="B487" s="247"/>
      <c r="C487" s="251"/>
      <c r="D487" s="45" t="s">
        <v>37</v>
      </c>
      <c r="E487" s="86">
        <v>0.325</v>
      </c>
      <c r="F487" s="129"/>
      <c r="G487" s="129" t="str">
        <f>CONCATENATE(D487," - ",E487,", ")</f>
        <v>Burnt Cu scrap - 0.325, </v>
      </c>
      <c r="H487" s="142"/>
    </row>
    <row r="488" spans="1:8" ht="15" customHeight="1">
      <c r="A488" s="246"/>
      <c r="B488" s="247"/>
      <c r="C488" s="251"/>
      <c r="D488" s="46" t="s">
        <v>24</v>
      </c>
      <c r="E488" s="86">
        <v>0.205</v>
      </c>
      <c r="F488" s="129"/>
      <c r="G488" s="129" t="str">
        <f>CONCATENATE(D488," - ",E488,", ")</f>
        <v>Misc. Aluminium scrap - 0.205, </v>
      </c>
      <c r="H488" s="142"/>
    </row>
    <row r="489" spans="1:8" ht="15" customHeight="1">
      <c r="A489" s="248"/>
      <c r="B489" s="249"/>
      <c r="C489" s="252"/>
      <c r="D489" s="45" t="s">
        <v>41</v>
      </c>
      <c r="E489" s="86">
        <v>0.055</v>
      </c>
      <c r="F489" s="129"/>
      <c r="G489" s="129" t="str">
        <f>CONCATENATE(D489," - ",E489,", ")</f>
        <v>Burnt Aluminium scrap - 0.055, </v>
      </c>
      <c r="H489" s="142"/>
    </row>
    <row r="490" spans="1:8" ht="15" customHeight="1">
      <c r="A490" s="56"/>
      <c r="B490" s="72"/>
      <c r="C490" s="190"/>
      <c r="D490" s="45"/>
      <c r="E490" s="86"/>
      <c r="F490" s="129"/>
      <c r="G490" s="129"/>
      <c r="H490" s="142"/>
    </row>
    <row r="491" spans="1:8" ht="15" customHeight="1">
      <c r="A491" s="56"/>
      <c r="B491" s="72"/>
      <c r="C491" s="190"/>
      <c r="D491" s="51"/>
      <c r="E491" s="84">
        <f>SUM(E493:E494)</f>
        <v>0.228</v>
      </c>
      <c r="F491" s="129"/>
      <c r="G491" s="129"/>
      <c r="H491" s="142"/>
    </row>
    <row r="492" spans="1:18" ht="15" customHeight="1">
      <c r="A492" s="231" t="s">
        <v>5</v>
      </c>
      <c r="B492" s="231"/>
      <c r="C492" s="80" t="s">
        <v>17</v>
      </c>
      <c r="D492" s="81" t="s">
        <v>18</v>
      </c>
      <c r="E492" s="80" t="s">
        <v>7</v>
      </c>
      <c r="F492" s="129"/>
      <c r="G492" s="131" t="str">
        <f>CONCATENATE("Misc. Healthy parts/ Non Ferrous  Scrap, Lying at ",C493,". Quantity in MT - ")</f>
        <v>Misc. Healthy parts/ Non Ferrous  Scrap, Lying at OL store Malerkotla. Quantity in MT - </v>
      </c>
      <c r="H492" s="261" t="str">
        <f ca="1">CONCATENATE(G492,G493,(INDIRECT(I493)),(INDIRECT(J493)),(INDIRECT(K493)),(INDIRECT(L493)),(INDIRECT(M493)),(INDIRECT(N493)),(INDIRECT(O493)),(INDIRECT(P493)),(INDIRECT(Q493)),(INDIRECT(R493)),".")</f>
        <v>Misc. Healthy parts/ Non Ferrous  Scrap, Lying at OL store Malerkotla. Quantity in MT - Misc. Alumn. Scrap - 0.028, Misc. copper scrap - 0.2, .</v>
      </c>
      <c r="I492" s="138" t="str">
        <f aca="true" ca="1" t="array" ref="I492">CELL("address",INDEX(G492:G514,MATCH(TRUE,ISBLANK(G492:G514),0)))</f>
        <v>$G$495</v>
      </c>
      <c r="J492" s="138">
        <f aca="true" t="array" ref="J492">MATCH(TRUE,ISBLANK(G492:G514),0)</f>
        <v>4</v>
      </c>
      <c r="K492" s="138">
        <f>J492-3</f>
        <v>1</v>
      </c>
      <c r="L492" s="138"/>
      <c r="M492" s="138"/>
      <c r="N492" s="138"/>
      <c r="O492" s="138"/>
      <c r="P492" s="138"/>
      <c r="Q492" s="138"/>
      <c r="R492" s="138"/>
    </row>
    <row r="493" spans="1:18" ht="15" customHeight="1">
      <c r="A493" s="244" t="s">
        <v>54</v>
      </c>
      <c r="B493" s="245"/>
      <c r="C493" s="250" t="s">
        <v>118</v>
      </c>
      <c r="D493" s="74" t="s">
        <v>31</v>
      </c>
      <c r="E493" s="53">
        <v>0.028</v>
      </c>
      <c r="F493" s="129"/>
      <c r="G493" s="129" t="str">
        <f>CONCATENATE(D493," - ",E493,", ")</f>
        <v>Misc. Alumn. Scrap - 0.028, </v>
      </c>
      <c r="H493" s="261"/>
      <c r="I493" s="138" t="str">
        <f ca="1">IF(J492&gt;=3,(MID(I492,2,1)&amp;MID(I492,4,4)-K492),CELL("address",Z493))</f>
        <v>G494</v>
      </c>
      <c r="J493" s="138" t="str">
        <f ca="1">IF(J492&gt;=4,(MID(I493,1,1)&amp;MID(I493,2,4)+1),CELL("address",AA493))</f>
        <v>G495</v>
      </c>
      <c r="K493" s="138" t="str">
        <f ca="1">IF(J492&gt;=5,(MID(J493,1,1)&amp;MID(J493,2,4)+1),CELL("address",AB493))</f>
        <v>$AB$493</v>
      </c>
      <c r="L493" s="138" t="str">
        <f ca="1">IF(J492&gt;=6,(MID(K493,1,1)&amp;MID(K493,2,4)+1),CELL("address",AC493))</f>
        <v>$AC$493</v>
      </c>
      <c r="M493" s="138" t="str">
        <f ca="1">IF(J492&gt;=7,(MID(L493,1,1)&amp;MID(L493,2,4)+1),CELL("address",AD493))</f>
        <v>$AD$493</v>
      </c>
      <c r="N493" s="138" t="str">
        <f ca="1">IF(J492&gt;=8,(MID(M493,1,1)&amp;MID(M493,2,4)+1),CELL("address",AE493))</f>
        <v>$AE$493</v>
      </c>
      <c r="O493" s="138" t="str">
        <f ca="1">IF(J492&gt;=9,(MID(N493,1,1)&amp;MID(N493,2,4)+1),CELL("address",AF493))</f>
        <v>$AF$493</v>
      </c>
      <c r="P493" s="138" t="str">
        <f ca="1">IF(J492&gt;=10,(MID(O493,1,1)&amp;MID(O493,2,4)+1),CELL("address",AG493))</f>
        <v>$AG$493</v>
      </c>
      <c r="Q493" s="138" t="str">
        <f ca="1">IF(J492&gt;=11,(MID(P493,1,1)&amp;MID(P493,2,4)+1),CELL("address",AH493))</f>
        <v>$AH$493</v>
      </c>
      <c r="R493" s="138" t="str">
        <f ca="1">IF(J492&gt;=12,(MID(Q493,1,1)&amp;MID(Q493,2,4)+1),CELL("address",AI493))</f>
        <v>$AI$493</v>
      </c>
    </row>
    <row r="494" spans="1:8" ht="15" customHeight="1">
      <c r="A494" s="248"/>
      <c r="B494" s="249"/>
      <c r="C494" s="252"/>
      <c r="D494" s="74" t="s">
        <v>113</v>
      </c>
      <c r="E494" s="80">
        <v>0.2</v>
      </c>
      <c r="F494" s="129"/>
      <c r="G494" s="129" t="str">
        <f>CONCATENATE(D494," - ",E494,", ")</f>
        <v>Misc. copper scrap - 0.2, </v>
      </c>
      <c r="H494" s="142"/>
    </row>
    <row r="495" spans="1:8" ht="15" customHeight="1">
      <c r="A495" s="232"/>
      <c r="B495" s="233"/>
      <c r="C495" s="184"/>
      <c r="D495" s="74"/>
      <c r="E495" s="80"/>
      <c r="F495" s="129"/>
      <c r="G495" s="129"/>
      <c r="H495" s="142"/>
    </row>
    <row r="496" spans="1:8" ht="15" customHeight="1">
      <c r="A496" s="238"/>
      <c r="B496" s="239"/>
      <c r="C496" s="83"/>
      <c r="D496" s="83"/>
      <c r="E496" s="84">
        <f>SUM(E498:E499)</f>
        <v>0.066</v>
      </c>
      <c r="F496" s="129"/>
      <c r="G496" s="129"/>
      <c r="H496" s="142"/>
    </row>
    <row r="497" spans="1:18" ht="15" customHeight="1">
      <c r="A497" s="231" t="s">
        <v>5</v>
      </c>
      <c r="B497" s="231"/>
      <c r="C497" s="80" t="s">
        <v>17</v>
      </c>
      <c r="D497" s="81" t="s">
        <v>18</v>
      </c>
      <c r="E497" s="80" t="s">
        <v>7</v>
      </c>
      <c r="F497" s="129"/>
      <c r="G497" s="131" t="str">
        <f>CONCATENATE("Misc. Healthy parts/ Non Ferrous  Scrap, Lying at ",C498,". Quantity in MT - ")</f>
        <v>Misc. Healthy parts/ Non Ferrous  Scrap, Lying at TRY Malerkotla. Quantity in MT - </v>
      </c>
      <c r="H497" s="261" t="str">
        <f ca="1">CONCATENATE(G497,G498,(INDIRECT(I498)),(INDIRECT(J498)),(INDIRECT(K498)),(INDIRECT(L498)),(INDIRECT(M498)),(INDIRECT(N498)),(INDIRECT(O498)),(INDIRECT(P498)),(INDIRECT(Q498)),(INDIRECT(R498)),".")</f>
        <v>Misc. Healthy parts/ Non Ferrous  Scrap, Lying at TRY Malerkotla. Quantity in MT - Brass scrap - 0.061, Misc. Alumn. Scrap - 0.005, .</v>
      </c>
      <c r="I497" s="138" t="str">
        <f aca="true" ca="1" t="array" ref="I497">CELL("address",INDEX(G497:G519,MATCH(TRUE,ISBLANK(G497:G519),0)))</f>
        <v>$G$500</v>
      </c>
      <c r="J497" s="138">
        <f aca="true" t="array" ref="J497">MATCH(TRUE,ISBLANK(G497:G519),0)</f>
        <v>4</v>
      </c>
      <c r="K497" s="138">
        <f>J497-3</f>
        <v>1</v>
      </c>
      <c r="L497" s="138"/>
      <c r="M497" s="138"/>
      <c r="N497" s="138"/>
      <c r="O497" s="138"/>
      <c r="P497" s="138"/>
      <c r="Q497" s="138"/>
      <c r="R497" s="138"/>
    </row>
    <row r="498" spans="1:18" ht="15" customHeight="1">
      <c r="A498" s="231" t="s">
        <v>117</v>
      </c>
      <c r="B498" s="231"/>
      <c r="C498" s="237" t="s">
        <v>28</v>
      </c>
      <c r="D498" s="51" t="s">
        <v>23</v>
      </c>
      <c r="E498" s="51">
        <v>0.061</v>
      </c>
      <c r="F498" s="129"/>
      <c r="G498" s="129" t="str">
        <f>CONCATENATE(D498," - ",E498,", ")</f>
        <v>Brass scrap - 0.061, </v>
      </c>
      <c r="H498" s="261"/>
      <c r="I498" s="138" t="str">
        <f ca="1">IF(J497&gt;=3,(MID(I497,2,1)&amp;MID(I497,4,4)-K497),CELL("address",Z498))</f>
        <v>G499</v>
      </c>
      <c r="J498" s="138" t="str">
        <f ca="1">IF(J497&gt;=4,(MID(I498,1,1)&amp;MID(I498,2,4)+1),CELL("address",AA498))</f>
        <v>G500</v>
      </c>
      <c r="K498" s="138" t="str">
        <f ca="1">IF(J497&gt;=5,(MID(J498,1,1)&amp;MID(J498,2,4)+1),CELL("address",AB498))</f>
        <v>$AB$498</v>
      </c>
      <c r="L498" s="138" t="str">
        <f ca="1">IF(J497&gt;=6,(MID(K498,1,1)&amp;MID(K498,2,4)+1),CELL("address",AC498))</f>
        <v>$AC$498</v>
      </c>
      <c r="M498" s="138" t="str">
        <f ca="1">IF(J497&gt;=7,(MID(L498,1,1)&amp;MID(L498,2,4)+1),CELL("address",AD498))</f>
        <v>$AD$498</v>
      </c>
      <c r="N498" s="138" t="str">
        <f ca="1">IF(J497&gt;=8,(MID(M498,1,1)&amp;MID(M498,2,4)+1),CELL("address",AE498))</f>
        <v>$AE$498</v>
      </c>
      <c r="O498" s="138" t="str">
        <f ca="1">IF(J497&gt;=9,(MID(N498,1,1)&amp;MID(N498,2,4)+1),CELL("address",AF498))</f>
        <v>$AF$498</v>
      </c>
      <c r="P498" s="138" t="str">
        <f ca="1">IF(J497&gt;=10,(MID(O498,1,1)&amp;MID(O498,2,4)+1),CELL("address",AG498))</f>
        <v>$AG$498</v>
      </c>
      <c r="Q498" s="138" t="str">
        <f ca="1">IF(J497&gt;=11,(MID(P498,1,1)&amp;MID(P498,2,4)+1),CELL("address",AH498))</f>
        <v>$AH$498</v>
      </c>
      <c r="R498" s="138" t="str">
        <f ca="1">IF(J497&gt;=12,(MID(Q498,1,1)&amp;MID(Q498,2,4)+1),CELL("address",AI498))</f>
        <v>$AI$498</v>
      </c>
    </row>
    <row r="499" spans="1:8" ht="15" customHeight="1">
      <c r="A499" s="231"/>
      <c r="B499" s="231"/>
      <c r="C499" s="237"/>
      <c r="D499" s="51" t="s">
        <v>31</v>
      </c>
      <c r="E499" s="80">
        <v>0.005</v>
      </c>
      <c r="F499" s="129"/>
      <c r="G499" s="129" t="str">
        <f>CONCATENATE(D499," - ",E499,", ")</f>
        <v>Misc. Alumn. Scrap - 0.005, </v>
      </c>
      <c r="H499" s="142"/>
    </row>
    <row r="500" spans="1:8" ht="15" customHeight="1">
      <c r="A500" s="232"/>
      <c r="B500" s="233"/>
      <c r="C500" s="184"/>
      <c r="D500" s="51"/>
      <c r="E500" s="80"/>
      <c r="F500" s="129"/>
      <c r="G500" s="129"/>
      <c r="H500" s="142"/>
    </row>
    <row r="501" spans="1:8" ht="15" customHeight="1">
      <c r="A501" s="238"/>
      <c r="B501" s="239"/>
      <c r="C501" s="83"/>
      <c r="D501" s="83"/>
      <c r="E501" s="84">
        <f>SUM(E503:E506)</f>
        <v>0.20400000000000001</v>
      </c>
      <c r="F501" s="129"/>
      <c r="G501" s="129"/>
      <c r="H501" s="142"/>
    </row>
    <row r="502" spans="1:18" ht="15" customHeight="1">
      <c r="A502" s="232" t="s">
        <v>5</v>
      </c>
      <c r="B502" s="233"/>
      <c r="C502" s="80" t="s">
        <v>17</v>
      </c>
      <c r="D502" s="81" t="s">
        <v>18</v>
      </c>
      <c r="E502" s="80" t="s">
        <v>7</v>
      </c>
      <c r="F502" s="129"/>
      <c r="G502" s="131" t="str">
        <f>CONCATENATE("Misc. Healthy parts/ Non Ferrous  Scrap, Lying at ",C503,". Quantity in MT - ")</f>
        <v>Misc. Healthy parts/ Non Ferrous  Scrap, Lying at TRY Patran. Quantity in MT - </v>
      </c>
      <c r="H502" s="261" t="str">
        <f ca="1">CONCATENATE(G502,G503,(INDIRECT(I503)),(INDIRECT(J503)),(INDIRECT(K503)),(INDIRECT(L503)),(INDIRECT(M503)),(INDIRECT(N503)),(INDIRECT(O503)),(INDIRECT(P503)),(INDIRECT(Q503)),(INDIRECT(R503)),".")</f>
        <v>Misc. Healthy parts/ Non Ferrous  Scrap, Lying at TRY Patran. Quantity in MT - Brass scrap - 0.091, Misc. Aluminium scrap - 0.009, Burnt Cu scrap - 0.004, Ms Nuts &amp; Bolts - 0.1, .</v>
      </c>
      <c r="I502" s="138" t="str">
        <f aca="true" ca="1" t="array" ref="I502">CELL("address",INDEX(G502:G524,MATCH(TRUE,ISBLANK(G502:G524),0)))</f>
        <v>$G$507</v>
      </c>
      <c r="J502" s="138">
        <f aca="true" t="array" ref="J502">MATCH(TRUE,ISBLANK(G502:G524),0)</f>
        <v>6</v>
      </c>
      <c r="K502" s="138">
        <f>J502-3</f>
        <v>3</v>
      </c>
      <c r="L502" s="138"/>
      <c r="M502" s="138"/>
      <c r="N502" s="138"/>
      <c r="O502" s="138"/>
      <c r="P502" s="138"/>
      <c r="Q502" s="138"/>
      <c r="R502" s="138"/>
    </row>
    <row r="503" spans="1:18" ht="15" customHeight="1">
      <c r="A503" s="244" t="s">
        <v>119</v>
      </c>
      <c r="B503" s="245"/>
      <c r="C503" s="250" t="s">
        <v>137</v>
      </c>
      <c r="D503" s="46" t="s">
        <v>23</v>
      </c>
      <c r="E503" s="52">
        <v>0.091</v>
      </c>
      <c r="F503" s="129"/>
      <c r="G503" s="129" t="str">
        <f>CONCATENATE(D503," - ",E503,", ")</f>
        <v>Brass scrap - 0.091, </v>
      </c>
      <c r="H503" s="261"/>
      <c r="I503" s="138" t="str">
        <f ca="1">IF(J502&gt;=3,(MID(I502,2,1)&amp;MID(I502,4,4)-K502),CELL("address",Z503))</f>
        <v>G504</v>
      </c>
      <c r="J503" s="138" t="str">
        <f ca="1">IF(J502&gt;=4,(MID(I503,1,1)&amp;MID(I503,2,4)+1),CELL("address",AA503))</f>
        <v>G505</v>
      </c>
      <c r="K503" s="138" t="str">
        <f ca="1">IF(J502&gt;=5,(MID(J503,1,1)&amp;MID(J503,2,4)+1),CELL("address",AB503))</f>
        <v>G506</v>
      </c>
      <c r="L503" s="138" t="str">
        <f ca="1">IF(J502&gt;=6,(MID(K503,1,1)&amp;MID(K503,2,4)+1),CELL("address",AC503))</f>
        <v>G507</v>
      </c>
      <c r="M503" s="138" t="str">
        <f ca="1">IF(J502&gt;=7,(MID(L503,1,1)&amp;MID(L503,2,4)+1),CELL("address",AD503))</f>
        <v>$AD$503</v>
      </c>
      <c r="N503" s="138" t="str">
        <f ca="1">IF(J502&gt;=8,(MID(M503,1,1)&amp;MID(M503,2,4)+1),CELL("address",AE503))</f>
        <v>$AE$503</v>
      </c>
      <c r="O503" s="138" t="str">
        <f ca="1">IF(J502&gt;=9,(MID(N503,1,1)&amp;MID(N503,2,4)+1),CELL("address",AF503))</f>
        <v>$AF$503</v>
      </c>
      <c r="P503" s="138" t="str">
        <f ca="1">IF(J502&gt;=10,(MID(O503,1,1)&amp;MID(O503,2,4)+1),CELL("address",AG503))</f>
        <v>$AG$503</v>
      </c>
      <c r="Q503" s="138" t="str">
        <f ca="1">IF(J502&gt;=11,(MID(P503,1,1)&amp;MID(P503,2,4)+1),CELL("address",AH503))</f>
        <v>$AH$503</v>
      </c>
      <c r="R503" s="138" t="str">
        <f ca="1">IF(J502&gt;=12,(MID(Q503,1,1)&amp;MID(Q503,2,4)+1),CELL("address",AI503))</f>
        <v>$AI$503</v>
      </c>
    </row>
    <row r="504" spans="1:8" ht="15" customHeight="1">
      <c r="A504" s="246"/>
      <c r="B504" s="247"/>
      <c r="C504" s="251"/>
      <c r="D504" s="46" t="s">
        <v>24</v>
      </c>
      <c r="E504" s="52">
        <v>0.009</v>
      </c>
      <c r="F504" s="129"/>
      <c r="G504" s="129" t="str">
        <f>CONCATENATE(D504," - ",E504,", ")</f>
        <v>Misc. Aluminium scrap - 0.009, </v>
      </c>
      <c r="H504" s="142"/>
    </row>
    <row r="505" spans="1:8" ht="15" customHeight="1">
      <c r="A505" s="246"/>
      <c r="B505" s="247"/>
      <c r="C505" s="251"/>
      <c r="D505" s="46" t="s">
        <v>37</v>
      </c>
      <c r="E505" s="52">
        <v>0.004</v>
      </c>
      <c r="F505" s="129"/>
      <c r="G505" s="129" t="str">
        <f>CONCATENATE(D505," - ",E505,", ")</f>
        <v>Burnt Cu scrap - 0.004, </v>
      </c>
      <c r="H505" s="142"/>
    </row>
    <row r="506" spans="1:8" ht="15" customHeight="1">
      <c r="A506" s="248"/>
      <c r="B506" s="249"/>
      <c r="C506" s="252"/>
      <c r="D506" s="51" t="s">
        <v>143</v>
      </c>
      <c r="E506" s="52">
        <v>0.1</v>
      </c>
      <c r="F506" s="129"/>
      <c r="G506" s="129" t="str">
        <f>CONCATENATE(D506," - ",E506,", ")</f>
        <v>Ms Nuts &amp; Bolts - 0.1, </v>
      </c>
      <c r="H506" s="142"/>
    </row>
    <row r="507" spans="1:8" ht="15" customHeight="1">
      <c r="A507" s="56"/>
      <c r="B507" s="72"/>
      <c r="C507" s="190"/>
      <c r="D507" s="51"/>
      <c r="E507" s="52"/>
      <c r="F507" s="129"/>
      <c r="G507" s="129"/>
      <c r="H507" s="142"/>
    </row>
    <row r="508" spans="1:8" ht="15" customHeight="1">
      <c r="A508" s="238"/>
      <c r="B508" s="239"/>
      <c r="C508" s="83"/>
      <c r="D508" s="83"/>
      <c r="E508" s="84">
        <f>SUM(E510:E511)</f>
        <v>0.132</v>
      </c>
      <c r="F508" s="129"/>
      <c r="G508" s="129"/>
      <c r="H508" s="142"/>
    </row>
    <row r="509" spans="1:18" ht="15" customHeight="1">
      <c r="A509" s="231" t="s">
        <v>5</v>
      </c>
      <c r="B509" s="231"/>
      <c r="C509" s="80" t="s">
        <v>17</v>
      </c>
      <c r="D509" s="81" t="s">
        <v>18</v>
      </c>
      <c r="E509" s="80" t="s">
        <v>7</v>
      </c>
      <c r="F509" s="129"/>
      <c r="G509" s="131" t="str">
        <f>CONCATENATE("Misc. Healthy parts/ Non Ferrous  Scrap, Lying at ",C510,". Quantity in MT - ")</f>
        <v>Misc. Healthy parts/ Non Ferrous  Scrap, Lying at TRY Patran. Quantity in MT - </v>
      </c>
      <c r="H509" s="261" t="str">
        <f ca="1">CONCATENATE(G509,G510,(INDIRECT(I510)),(INDIRECT(J510)),(INDIRECT(K510)),(INDIRECT(L510)),(INDIRECT(M510)),(INDIRECT(N510)),(INDIRECT(O510)),(INDIRECT(P510)),(INDIRECT(Q510)),(INDIRECT(R510)),".")</f>
        <v>Misc. Healthy parts/ Non Ferrous  Scrap, Lying at TRY Patran. Quantity in MT - Brass scrap - 0.124, Misc. Alumn. Scrap - 0.008, .</v>
      </c>
      <c r="I509" s="138" t="str">
        <f aca="true" ca="1" t="array" ref="I509">CELL("address",INDEX(G509:G531,MATCH(TRUE,ISBLANK(G509:G531),0)))</f>
        <v>$G$512</v>
      </c>
      <c r="J509" s="138">
        <f aca="true" t="array" ref="J509">MATCH(TRUE,ISBLANK(G509:G531),0)</f>
        <v>4</v>
      </c>
      <c r="K509" s="138">
        <f>J509-3</f>
        <v>1</v>
      </c>
      <c r="L509" s="138"/>
      <c r="M509" s="138"/>
      <c r="N509" s="138"/>
      <c r="O509" s="138"/>
      <c r="P509" s="138"/>
      <c r="Q509" s="138"/>
      <c r="R509" s="138"/>
    </row>
    <row r="510" spans="1:18" ht="15" customHeight="1">
      <c r="A510" s="231" t="s">
        <v>120</v>
      </c>
      <c r="B510" s="231"/>
      <c r="C510" s="237" t="s">
        <v>137</v>
      </c>
      <c r="D510" s="51" t="s">
        <v>23</v>
      </c>
      <c r="E510" s="51">
        <v>0.124</v>
      </c>
      <c r="F510" s="129"/>
      <c r="G510" s="129" t="str">
        <f>CONCATENATE(D510," - ",E510,", ")</f>
        <v>Brass scrap - 0.124, </v>
      </c>
      <c r="H510" s="261"/>
      <c r="I510" s="138" t="str">
        <f ca="1">IF(J509&gt;=3,(MID(I509,2,1)&amp;MID(I509,4,4)-K509),CELL("address",Z510))</f>
        <v>G511</v>
      </c>
      <c r="J510" s="138" t="str">
        <f ca="1">IF(J509&gt;=4,(MID(I510,1,1)&amp;MID(I510,2,4)+1),CELL("address",AA510))</f>
        <v>G512</v>
      </c>
      <c r="K510" s="138" t="str">
        <f ca="1">IF(J509&gt;=5,(MID(J510,1,1)&amp;MID(J510,2,4)+1),CELL("address",AB510))</f>
        <v>$AB$510</v>
      </c>
      <c r="L510" s="138" t="str">
        <f ca="1">IF(J509&gt;=6,(MID(K510,1,1)&amp;MID(K510,2,4)+1),CELL("address",AC510))</f>
        <v>$AC$510</v>
      </c>
      <c r="M510" s="138" t="str">
        <f ca="1">IF(J509&gt;=7,(MID(L510,1,1)&amp;MID(L510,2,4)+1),CELL("address",AD510))</f>
        <v>$AD$510</v>
      </c>
      <c r="N510" s="138" t="str">
        <f ca="1">IF(J509&gt;=8,(MID(M510,1,1)&amp;MID(M510,2,4)+1),CELL("address",AE510))</f>
        <v>$AE$510</v>
      </c>
      <c r="O510" s="138" t="str">
        <f ca="1">IF(J509&gt;=9,(MID(N510,1,1)&amp;MID(N510,2,4)+1),CELL("address",AF510))</f>
        <v>$AF$510</v>
      </c>
      <c r="P510" s="138" t="str">
        <f ca="1">IF(J509&gt;=10,(MID(O510,1,1)&amp;MID(O510,2,4)+1),CELL("address",AG510))</f>
        <v>$AG$510</v>
      </c>
      <c r="Q510" s="138" t="str">
        <f ca="1">IF(J509&gt;=11,(MID(P510,1,1)&amp;MID(P510,2,4)+1),CELL("address",AH510))</f>
        <v>$AH$510</v>
      </c>
      <c r="R510" s="138" t="str">
        <f ca="1">IF(J509&gt;=12,(MID(Q510,1,1)&amp;MID(Q510,2,4)+1),CELL("address",AI510))</f>
        <v>$AI$510</v>
      </c>
    </row>
    <row r="511" spans="1:8" ht="15" customHeight="1">
      <c r="A511" s="231"/>
      <c r="B511" s="231"/>
      <c r="C511" s="237"/>
      <c r="D511" s="51" t="s">
        <v>31</v>
      </c>
      <c r="E511" s="80">
        <v>0.008</v>
      </c>
      <c r="F511" s="129"/>
      <c r="G511" s="129" t="str">
        <f>CONCATENATE(D511," - ",E511,", ")</f>
        <v>Misc. Alumn. Scrap - 0.008, </v>
      </c>
      <c r="H511" s="142"/>
    </row>
    <row r="512" spans="1:8" ht="15" customHeight="1">
      <c r="A512" s="41"/>
      <c r="F512" s="129"/>
      <c r="G512" s="129"/>
      <c r="H512" s="142"/>
    </row>
    <row r="513" spans="1:8" ht="15" customHeight="1">
      <c r="A513" s="238"/>
      <c r="B513" s="239"/>
      <c r="C513" s="83"/>
      <c r="D513" s="83"/>
      <c r="E513" s="84">
        <f>SUM(E515:E516)</f>
        <v>2.17</v>
      </c>
      <c r="F513" s="129"/>
      <c r="G513" s="129"/>
      <c r="H513" s="142"/>
    </row>
    <row r="514" spans="1:18" ht="15" customHeight="1">
      <c r="A514" s="231" t="s">
        <v>5</v>
      </c>
      <c r="B514" s="231"/>
      <c r="C514" s="80" t="s">
        <v>17</v>
      </c>
      <c r="D514" s="81" t="s">
        <v>18</v>
      </c>
      <c r="E514" s="80" t="s">
        <v>7</v>
      </c>
      <c r="F514" s="129"/>
      <c r="G514" s="131" t="str">
        <f>CONCATENATE("Misc. Healthy parts/ Non Ferrous  Scrap, Lying at ",C515,". Quantity in MT - ")</f>
        <v>Misc. Healthy parts/ Non Ferrous  Scrap, Lying at TRY Ropar. Quantity in MT - </v>
      </c>
      <c r="H514" s="261" t="str">
        <f ca="1">CONCATENATE(G514,G515,(INDIRECT(I515)),(INDIRECT(J515)),(INDIRECT(K515)),(INDIRECT(L515)),(INDIRECT(M515)),(INDIRECT(N515)),(INDIRECT(O515)),(INDIRECT(P515)),(INDIRECT(Q515)),(INDIRECT(R515)),".")</f>
        <v>Misc. Healthy parts/ Non Ferrous  Scrap, Lying at TRY Ropar. Quantity in MT - Brass scrap - 2.007, Misc. Alumn. Scrap - 0.163, .</v>
      </c>
      <c r="I514" s="138" t="str">
        <f aca="true" ca="1" t="array" ref="I514">CELL("address",INDEX(G514:G536,MATCH(TRUE,ISBLANK(G514:G536),0)))</f>
        <v>$G$517</v>
      </c>
      <c r="J514" s="138">
        <f aca="true" t="array" ref="J514">MATCH(TRUE,ISBLANK(G514:G536),0)</f>
        <v>4</v>
      </c>
      <c r="K514" s="138">
        <f>J514-3</f>
        <v>1</v>
      </c>
      <c r="L514" s="138"/>
      <c r="M514" s="138"/>
      <c r="N514" s="138"/>
      <c r="O514" s="138"/>
      <c r="P514" s="138"/>
      <c r="Q514" s="138"/>
      <c r="R514" s="138"/>
    </row>
    <row r="515" spans="1:18" ht="15" customHeight="1">
      <c r="A515" s="231" t="s">
        <v>127</v>
      </c>
      <c r="B515" s="231"/>
      <c r="C515" s="237" t="s">
        <v>140</v>
      </c>
      <c r="D515" s="51" t="s">
        <v>23</v>
      </c>
      <c r="E515" s="51">
        <v>2.007</v>
      </c>
      <c r="F515" s="129"/>
      <c r="G515" s="129" t="str">
        <f>CONCATENATE(D515," - ",E515,", ")</f>
        <v>Brass scrap - 2.007, </v>
      </c>
      <c r="H515" s="261"/>
      <c r="I515" s="138" t="str">
        <f ca="1">IF(J514&gt;=3,(MID(I514,2,1)&amp;MID(I514,4,4)-K514),CELL("address",Z515))</f>
        <v>G516</v>
      </c>
      <c r="J515" s="138" t="str">
        <f ca="1">IF(J514&gt;=4,(MID(I515,1,1)&amp;MID(I515,2,4)+1),CELL("address",AA515))</f>
        <v>G517</v>
      </c>
      <c r="K515" s="138" t="str">
        <f ca="1">IF(J514&gt;=5,(MID(J515,1,1)&amp;MID(J515,2,4)+1),CELL("address",AB515))</f>
        <v>$AB$515</v>
      </c>
      <c r="L515" s="138" t="str">
        <f ca="1">IF(J514&gt;=6,(MID(K515,1,1)&amp;MID(K515,2,4)+1),CELL("address",AC515))</f>
        <v>$AC$515</v>
      </c>
      <c r="M515" s="138" t="str">
        <f ca="1">IF(J514&gt;=7,(MID(L515,1,1)&amp;MID(L515,2,4)+1),CELL("address",AD515))</f>
        <v>$AD$515</v>
      </c>
      <c r="N515" s="138" t="str">
        <f ca="1">IF(J514&gt;=8,(MID(M515,1,1)&amp;MID(M515,2,4)+1),CELL("address",AE515))</f>
        <v>$AE$515</v>
      </c>
      <c r="O515" s="138" t="str">
        <f ca="1">IF(J514&gt;=9,(MID(N515,1,1)&amp;MID(N515,2,4)+1),CELL("address",AF515))</f>
        <v>$AF$515</v>
      </c>
      <c r="P515" s="138" t="str">
        <f ca="1">IF(J514&gt;=10,(MID(O515,1,1)&amp;MID(O515,2,4)+1),CELL("address",AG515))</f>
        <v>$AG$515</v>
      </c>
      <c r="Q515" s="138" t="str">
        <f ca="1">IF(J514&gt;=11,(MID(P515,1,1)&amp;MID(P515,2,4)+1),CELL("address",AH515))</f>
        <v>$AH$515</v>
      </c>
      <c r="R515" s="138" t="str">
        <f ca="1">IF(J514&gt;=12,(MID(Q515,1,1)&amp;MID(Q515,2,4)+1),CELL("address",AI515))</f>
        <v>$AI$515</v>
      </c>
    </row>
    <row r="516" spans="1:8" ht="15" customHeight="1">
      <c r="A516" s="231"/>
      <c r="B516" s="231"/>
      <c r="C516" s="237"/>
      <c r="D516" s="51" t="s">
        <v>31</v>
      </c>
      <c r="E516" s="80">
        <v>0.163</v>
      </c>
      <c r="F516" s="129"/>
      <c r="G516" s="129" t="str">
        <f>CONCATENATE(D516," - ",E516,", ")</f>
        <v>Misc. Alumn. Scrap - 0.163, </v>
      </c>
      <c r="H516" s="142"/>
    </row>
    <row r="517" spans="1:8" ht="15" customHeight="1">
      <c r="A517" s="58"/>
      <c r="B517" s="61"/>
      <c r="C517" s="22"/>
      <c r="D517" s="107"/>
      <c r="E517" s="106"/>
      <c r="F517" s="129"/>
      <c r="G517" s="129"/>
      <c r="H517" s="142"/>
    </row>
    <row r="518" spans="1:8" ht="15" customHeight="1">
      <c r="A518" s="238"/>
      <c r="B518" s="239"/>
      <c r="C518" s="83"/>
      <c r="D518" s="83"/>
      <c r="E518" s="84">
        <f>SUM(E520:E524)</f>
        <v>1.1320000000000001</v>
      </c>
      <c r="F518" s="129"/>
      <c r="G518" s="129"/>
      <c r="H518" s="142"/>
    </row>
    <row r="519" spans="1:18" ht="15" customHeight="1">
      <c r="A519" s="231" t="s">
        <v>5</v>
      </c>
      <c r="B519" s="231"/>
      <c r="C519" s="80" t="s">
        <v>17</v>
      </c>
      <c r="D519" s="81" t="s">
        <v>18</v>
      </c>
      <c r="E519" s="80" t="s">
        <v>7</v>
      </c>
      <c r="F519" s="129"/>
      <c r="G519" s="131" t="str">
        <f>CONCATENATE("Misc. Healthy parts/ Non Ferrous  Scrap, Lying at ",C520,". Quantity in MT - ")</f>
        <v>Misc. Healthy parts/ Non Ferrous  Scrap, Lying at TRY Patiala. Quantity in MT - </v>
      </c>
      <c r="H519" s="261" t="str">
        <f ca="1">CONCATENATE(G519,G520,(INDIRECT(I520)),(INDIRECT(J520)),(INDIRECT(K520)),(INDIRECT(L520)),(INDIRECT(M520)),(INDIRECT(N520)),(INDIRECT(O520)),(INDIRECT(P520)),(INDIRECT(Q520)),(INDIRECT(R520)),".")</f>
        <v>Misc. Healthy parts/ Non Ferrous  Scrap, Lying at TRY Patiala. Quantity in MT - Brass scrap - 0.46, Misc. Alumn. Scrap - 0.043, Burnt Cu scrap - 0.033, Nuts &amp; Bolts scrap - 0.52, Teen Patra scrap - 0.076, .</v>
      </c>
      <c r="I519" s="138" t="str">
        <f aca="true" ca="1" t="array" ref="I519">CELL("address",INDEX(G519:G541,MATCH(TRUE,ISBLANK(G519:G541),0)))</f>
        <v>$G$525</v>
      </c>
      <c r="J519" s="138">
        <f aca="true" t="array" ref="J519">MATCH(TRUE,ISBLANK(G519:G541),0)</f>
        <v>7</v>
      </c>
      <c r="K519" s="138">
        <f>J519-3</f>
        <v>4</v>
      </c>
      <c r="L519" s="138"/>
      <c r="M519" s="138"/>
      <c r="N519" s="138"/>
      <c r="O519" s="138"/>
      <c r="P519" s="138"/>
      <c r="Q519" s="138"/>
      <c r="R519" s="138"/>
    </row>
    <row r="520" spans="1:18" ht="15" customHeight="1">
      <c r="A520" s="231" t="s">
        <v>134</v>
      </c>
      <c r="B520" s="231"/>
      <c r="C520" s="237" t="s">
        <v>122</v>
      </c>
      <c r="D520" s="51" t="s">
        <v>23</v>
      </c>
      <c r="E520" s="53">
        <v>0.46</v>
      </c>
      <c r="F520" s="129"/>
      <c r="G520" s="129" t="str">
        <f>CONCATENATE(D520," - ",E520,", ")</f>
        <v>Brass scrap - 0.46, </v>
      </c>
      <c r="H520" s="261"/>
      <c r="I520" s="138" t="str">
        <f ca="1">IF(J519&gt;=3,(MID(I519,2,1)&amp;MID(I519,4,4)-K519),CELL("address",Z520))</f>
        <v>G521</v>
      </c>
      <c r="J520" s="138" t="str">
        <f ca="1">IF(J519&gt;=4,(MID(I520,1,1)&amp;MID(I520,2,4)+1),CELL("address",AA520))</f>
        <v>G522</v>
      </c>
      <c r="K520" s="138" t="str">
        <f ca="1">IF(J519&gt;=5,(MID(J520,1,1)&amp;MID(J520,2,4)+1),CELL("address",AB520))</f>
        <v>G523</v>
      </c>
      <c r="L520" s="138" t="str">
        <f ca="1">IF(J519&gt;=6,(MID(K520,1,1)&amp;MID(K520,2,4)+1),CELL("address",AC520))</f>
        <v>G524</v>
      </c>
      <c r="M520" s="138" t="str">
        <f ca="1">IF(J519&gt;=7,(MID(L520,1,1)&amp;MID(L520,2,4)+1),CELL("address",AD520))</f>
        <v>G525</v>
      </c>
      <c r="N520" s="138" t="str">
        <f ca="1">IF(J519&gt;=8,(MID(M520,1,1)&amp;MID(M520,2,4)+1),CELL("address",AE520))</f>
        <v>$AE$520</v>
      </c>
      <c r="O520" s="138" t="str">
        <f ca="1">IF(J519&gt;=9,(MID(N520,1,1)&amp;MID(N520,2,4)+1),CELL("address",AF520))</f>
        <v>$AF$520</v>
      </c>
      <c r="P520" s="138" t="str">
        <f ca="1">IF(J519&gt;=10,(MID(O520,1,1)&amp;MID(O520,2,4)+1),CELL("address",AG520))</f>
        <v>$AG$520</v>
      </c>
      <c r="Q520" s="138" t="str">
        <f ca="1">IF(J519&gt;=11,(MID(P520,1,1)&amp;MID(P520,2,4)+1),CELL("address",AH520))</f>
        <v>$AH$520</v>
      </c>
      <c r="R520" s="138" t="str">
        <f ca="1">IF(J519&gt;=12,(MID(Q520,1,1)&amp;MID(Q520,2,4)+1),CELL("address",AI520))</f>
        <v>$AI$520</v>
      </c>
    </row>
    <row r="521" spans="1:8" ht="15" customHeight="1">
      <c r="A521" s="231"/>
      <c r="B521" s="231"/>
      <c r="C521" s="237"/>
      <c r="D521" s="51" t="s">
        <v>31</v>
      </c>
      <c r="E521" s="92">
        <v>0.043</v>
      </c>
      <c r="F521" s="129"/>
      <c r="G521" s="129" t="str">
        <f>CONCATENATE(D521," - ",E521,", ")</f>
        <v>Misc. Alumn. Scrap - 0.043, </v>
      </c>
      <c r="H521" s="142"/>
    </row>
    <row r="522" spans="1:8" ht="15" customHeight="1">
      <c r="A522" s="231"/>
      <c r="B522" s="231"/>
      <c r="C522" s="237"/>
      <c r="D522" s="46" t="s">
        <v>37</v>
      </c>
      <c r="E522" s="173">
        <v>0.033</v>
      </c>
      <c r="F522" s="129"/>
      <c r="G522" s="129" t="str">
        <f>CONCATENATE(D522," - ",E522,", ")</f>
        <v>Burnt Cu scrap - 0.033, </v>
      </c>
      <c r="H522" s="142"/>
    </row>
    <row r="523" spans="1:8" ht="15" customHeight="1">
      <c r="A523" s="231"/>
      <c r="B523" s="231"/>
      <c r="C523" s="237"/>
      <c r="D523" s="46" t="s">
        <v>59</v>
      </c>
      <c r="E523" s="173">
        <v>0.52</v>
      </c>
      <c r="F523" s="129"/>
      <c r="G523" s="129" t="str">
        <f>CONCATENATE(D523," - ",E523,", ")</f>
        <v>Nuts &amp; Bolts scrap - 0.52, </v>
      </c>
      <c r="H523" s="142"/>
    </row>
    <row r="524" spans="1:8" ht="15" customHeight="1">
      <c r="A524" s="231"/>
      <c r="B524" s="231"/>
      <c r="C524" s="237"/>
      <c r="D524" s="46" t="s">
        <v>65</v>
      </c>
      <c r="E524" s="173">
        <v>0.076</v>
      </c>
      <c r="F524" s="129"/>
      <c r="G524" s="129" t="str">
        <f>CONCATENATE(D524," - ",E524,", ")</f>
        <v>Teen Patra scrap - 0.076, </v>
      </c>
      <c r="H524" s="142"/>
    </row>
    <row r="525" spans="1:8" ht="15" customHeight="1">
      <c r="A525" s="41"/>
      <c r="B525" s="1"/>
      <c r="C525" s="1"/>
      <c r="D525" s="1"/>
      <c r="E525" s="1"/>
      <c r="F525" s="129"/>
      <c r="G525" s="129"/>
      <c r="H525" s="142"/>
    </row>
    <row r="526" spans="1:8" ht="15" customHeight="1">
      <c r="A526" s="238"/>
      <c r="B526" s="239"/>
      <c r="C526" s="83"/>
      <c r="D526" s="83"/>
      <c r="E526" s="84">
        <f>SUM(E528:E529)</f>
        <v>0.89</v>
      </c>
      <c r="F526" s="129"/>
      <c r="G526" s="129"/>
      <c r="H526" s="142"/>
    </row>
    <row r="527" spans="1:18" ht="15" customHeight="1">
      <c r="A527" s="231" t="s">
        <v>5</v>
      </c>
      <c r="B527" s="231"/>
      <c r="C527" s="80" t="s">
        <v>17</v>
      </c>
      <c r="D527" s="81" t="s">
        <v>18</v>
      </c>
      <c r="E527" s="80" t="s">
        <v>7</v>
      </c>
      <c r="F527" s="129"/>
      <c r="G527" s="131" t="str">
        <f>CONCATENATE("Misc. Healthy parts/ Non Ferrous  Scrap, Lying at ",C528,". Quantity in MT - ")</f>
        <v>Misc. Healthy parts/ Non Ferrous  Scrap, Lying at TRY Patiala. Quantity in MT - </v>
      </c>
      <c r="H527" s="261" t="str">
        <f ca="1">CONCATENATE(G527,G528,(INDIRECT(I528)),(INDIRECT(J528)),(INDIRECT(K528)),(INDIRECT(L528)),(INDIRECT(M528)),(INDIRECT(N528)),(INDIRECT(O528)),(INDIRECT(P528)),(INDIRECT(Q528)),(INDIRECT(R528)),".")</f>
        <v>Misc. Healthy parts/ Non Ferrous  Scrap, Lying at TRY Patiala. Quantity in MT - Brass scrap - 0.846, Misc. Alumn. Scrap - 0.044, .</v>
      </c>
      <c r="I527" s="138" t="str">
        <f aca="true" ca="1" t="array" ref="I527">CELL("address",INDEX(G527:G549,MATCH(TRUE,ISBLANK(G527:G549),0)))</f>
        <v>$G$530</v>
      </c>
      <c r="J527" s="138">
        <f aca="true" t="array" ref="J527">MATCH(TRUE,ISBLANK(G527:G549),0)</f>
        <v>4</v>
      </c>
      <c r="K527" s="138">
        <f>J527-3</f>
        <v>1</v>
      </c>
      <c r="L527" s="138"/>
      <c r="M527" s="138"/>
      <c r="N527" s="138"/>
      <c r="O527" s="138"/>
      <c r="P527" s="138"/>
      <c r="Q527" s="138"/>
      <c r="R527" s="138"/>
    </row>
    <row r="528" spans="1:18" ht="15" customHeight="1">
      <c r="A528" s="231" t="s">
        <v>135</v>
      </c>
      <c r="B528" s="231"/>
      <c r="C528" s="237" t="s">
        <v>122</v>
      </c>
      <c r="D528" s="51" t="s">
        <v>23</v>
      </c>
      <c r="E528" s="53">
        <v>0.846</v>
      </c>
      <c r="F528" s="129"/>
      <c r="G528" s="129" t="str">
        <f>CONCATENATE(D528," - ",E528,", ")</f>
        <v>Brass scrap - 0.846, </v>
      </c>
      <c r="H528" s="261"/>
      <c r="I528" s="138" t="str">
        <f ca="1">IF(J527&gt;=3,(MID(I527,2,1)&amp;MID(I527,4,4)-K527),CELL("address",Z528))</f>
        <v>G529</v>
      </c>
      <c r="J528" s="138" t="str">
        <f ca="1">IF(J527&gt;=4,(MID(I528,1,1)&amp;MID(I528,2,4)+1),CELL("address",AA528))</f>
        <v>G530</v>
      </c>
      <c r="K528" s="138" t="str">
        <f ca="1">IF(J527&gt;=5,(MID(J528,1,1)&amp;MID(J528,2,4)+1),CELL("address",AB528))</f>
        <v>$AB$528</v>
      </c>
      <c r="L528" s="138" t="str">
        <f ca="1">IF(J527&gt;=6,(MID(K528,1,1)&amp;MID(K528,2,4)+1),CELL("address",AC528))</f>
        <v>$AC$528</v>
      </c>
      <c r="M528" s="138" t="str">
        <f ca="1">IF(J527&gt;=7,(MID(L528,1,1)&amp;MID(L528,2,4)+1),CELL("address",AD528))</f>
        <v>$AD$528</v>
      </c>
      <c r="N528" s="138" t="str">
        <f ca="1">IF(J527&gt;=8,(MID(M528,1,1)&amp;MID(M528,2,4)+1),CELL("address",AE528))</f>
        <v>$AE$528</v>
      </c>
      <c r="O528" s="138" t="str">
        <f ca="1">IF(J527&gt;=9,(MID(N528,1,1)&amp;MID(N528,2,4)+1),CELL("address",AF528))</f>
        <v>$AF$528</v>
      </c>
      <c r="P528" s="138" t="str">
        <f ca="1">IF(J527&gt;=10,(MID(O528,1,1)&amp;MID(O528,2,4)+1),CELL("address",AG528))</f>
        <v>$AG$528</v>
      </c>
      <c r="Q528" s="138" t="str">
        <f ca="1">IF(J527&gt;=11,(MID(P528,1,1)&amp;MID(P528,2,4)+1),CELL("address",AH528))</f>
        <v>$AH$528</v>
      </c>
      <c r="R528" s="138" t="str">
        <f ca="1">IF(J527&gt;=12,(MID(Q528,1,1)&amp;MID(Q528,2,4)+1),CELL("address",AI528))</f>
        <v>$AI$528</v>
      </c>
    </row>
    <row r="529" spans="1:8" ht="15" customHeight="1">
      <c r="A529" s="231"/>
      <c r="B529" s="231"/>
      <c r="C529" s="237"/>
      <c r="D529" s="51" t="s">
        <v>31</v>
      </c>
      <c r="E529" s="80">
        <v>0.044</v>
      </c>
      <c r="F529" s="129"/>
      <c r="G529" s="129" t="str">
        <f>CONCATENATE(D529," - ",E529,", ")</f>
        <v>Misc. Alumn. Scrap - 0.044, </v>
      </c>
      <c r="H529" s="142"/>
    </row>
    <row r="530" spans="1:8" ht="15" customHeight="1">
      <c r="A530" s="58"/>
      <c r="B530" s="61"/>
      <c r="C530" s="22"/>
      <c r="D530" s="112"/>
      <c r="E530" s="113"/>
      <c r="F530" s="129"/>
      <c r="G530" s="129"/>
      <c r="H530" s="142"/>
    </row>
    <row r="531" spans="1:8" ht="15" customHeight="1">
      <c r="A531" s="238"/>
      <c r="B531" s="239"/>
      <c r="C531" s="83"/>
      <c r="D531" s="83"/>
      <c r="E531" s="84">
        <f>SUM(E533:E534)</f>
        <v>0.027</v>
      </c>
      <c r="F531" s="129"/>
      <c r="G531" s="129"/>
      <c r="H531" s="142"/>
    </row>
    <row r="532" spans="1:18" ht="15" customHeight="1">
      <c r="A532" s="231" t="s">
        <v>5</v>
      </c>
      <c r="B532" s="231"/>
      <c r="C532" s="80" t="s">
        <v>17</v>
      </c>
      <c r="D532" s="81" t="s">
        <v>18</v>
      </c>
      <c r="E532" s="80" t="s">
        <v>7</v>
      </c>
      <c r="F532" s="129"/>
      <c r="G532" s="131" t="str">
        <f>CONCATENATE("Misc. Healthy parts/ Non Ferrous  Scrap, Lying at ",C533,". Quantity in MT - ")</f>
        <v>Misc. Healthy parts/ Non Ferrous  Scrap, Lying at CS Sangrur. Quantity in MT - </v>
      </c>
      <c r="H532" s="178" t="str">
        <f ca="1">CONCATENATE(G532,G533,(INDIRECT(I533)),(INDIRECT(J533)),(INDIRECT(K533)),(INDIRECT(L533)),(INDIRECT(M533)),(INDIRECT(N533)),(INDIRECT(O533)),(INDIRECT(P533)),(INDIRECT(Q533)),(INDIRECT(R533)),".")</f>
        <v>Misc. Healthy parts/ Non Ferrous  Scrap, Lying at CS Sangrur. Quantity in MT - Misc. copper scrap - 0.022, Misc. Alumn. Scrap - 0.005, .</v>
      </c>
      <c r="I532" s="138" t="str">
        <f aca="true" ca="1" t="array" ref="I532">CELL("address",INDEX(G532:G554,MATCH(TRUE,ISBLANK(G532:G554),0)))</f>
        <v>$G$535</v>
      </c>
      <c r="J532" s="138">
        <f aca="true" t="array" ref="J532">MATCH(TRUE,ISBLANK(G532:G554),0)</f>
        <v>4</v>
      </c>
      <c r="K532" s="138">
        <f>J532-3</f>
        <v>1</v>
      </c>
      <c r="L532" s="138"/>
      <c r="M532" s="138"/>
      <c r="N532" s="138"/>
      <c r="O532" s="138"/>
      <c r="P532" s="138"/>
      <c r="Q532" s="138"/>
      <c r="R532" s="138"/>
    </row>
    <row r="533" spans="1:18" ht="15" customHeight="1">
      <c r="A533" s="244" t="s">
        <v>138</v>
      </c>
      <c r="B533" s="245"/>
      <c r="C533" s="250" t="s">
        <v>80</v>
      </c>
      <c r="D533" s="74" t="s">
        <v>113</v>
      </c>
      <c r="E533" s="53">
        <v>0.022</v>
      </c>
      <c r="F533" s="129"/>
      <c r="G533" s="129" t="str">
        <f>CONCATENATE(D533," - ",E533,", ")</f>
        <v>Misc. copper scrap - 0.022, </v>
      </c>
      <c r="H533" s="178"/>
      <c r="I533" s="138" t="str">
        <f ca="1">IF(J532&gt;=3,(MID(I532,2,1)&amp;MID(I532,4,4)-K532),CELL("address",Z533))</f>
        <v>G534</v>
      </c>
      <c r="J533" s="138" t="str">
        <f ca="1">IF(J532&gt;=4,(MID(I533,1,1)&amp;MID(I533,2,4)+1),CELL("address",AA533))</f>
        <v>G535</v>
      </c>
      <c r="K533" s="138" t="str">
        <f ca="1">IF(J532&gt;=5,(MID(J533,1,1)&amp;MID(J533,2,4)+1),CELL("address",AB533))</f>
        <v>$AB$533</v>
      </c>
      <c r="L533" s="138" t="str">
        <f ca="1">IF(J532&gt;=6,(MID(K533,1,1)&amp;MID(K533,2,4)+1),CELL("address",AC533))</f>
        <v>$AC$533</v>
      </c>
      <c r="M533" s="138" t="str">
        <f ca="1">IF(J532&gt;=7,(MID(L533,1,1)&amp;MID(L533,2,4)+1),CELL("address",AD533))</f>
        <v>$AD$533</v>
      </c>
      <c r="N533" s="138" t="str">
        <f ca="1">IF(J532&gt;=8,(MID(M533,1,1)&amp;MID(M533,2,4)+1),CELL("address",AE533))</f>
        <v>$AE$533</v>
      </c>
      <c r="O533" s="138" t="str">
        <f ca="1">IF(J532&gt;=9,(MID(N533,1,1)&amp;MID(N533,2,4)+1),CELL("address",AF533))</f>
        <v>$AF$533</v>
      </c>
      <c r="P533" s="138" t="str">
        <f ca="1">IF(J532&gt;=10,(MID(O533,1,1)&amp;MID(O533,2,4)+1),CELL("address",AG533))</f>
        <v>$AG$533</v>
      </c>
      <c r="Q533" s="138" t="str">
        <f ca="1">IF(J532&gt;=11,(MID(P533,1,1)&amp;MID(P533,2,4)+1),CELL("address",AH533))</f>
        <v>$AH$533</v>
      </c>
      <c r="R533" s="138" t="str">
        <f ca="1">IF(J532&gt;=12,(MID(Q533,1,1)&amp;MID(Q533,2,4)+1),CELL("address",AI533))</f>
        <v>$AI$533</v>
      </c>
    </row>
    <row r="534" spans="1:8" ht="15" customHeight="1">
      <c r="A534" s="248"/>
      <c r="B534" s="249"/>
      <c r="C534" s="252"/>
      <c r="D534" s="51" t="s">
        <v>31</v>
      </c>
      <c r="E534" s="53">
        <v>0.005</v>
      </c>
      <c r="F534" s="129"/>
      <c r="G534" s="129" t="str">
        <f>CONCATENATE(D534," - ",E534,", ")</f>
        <v>Misc. Alumn. Scrap - 0.005, </v>
      </c>
      <c r="H534" s="142"/>
    </row>
    <row r="535" spans="1:8" ht="15" customHeight="1">
      <c r="A535" s="58"/>
      <c r="B535" s="61"/>
      <c r="C535" s="22"/>
      <c r="D535" s="130"/>
      <c r="E535" s="118"/>
      <c r="F535" s="129"/>
      <c r="G535" s="129"/>
      <c r="H535" s="142"/>
    </row>
    <row r="536" spans="1:8" ht="15" customHeight="1">
      <c r="A536" s="238"/>
      <c r="B536" s="239"/>
      <c r="C536" s="83"/>
      <c r="D536" s="83"/>
      <c r="E536" s="84">
        <f>SUM(E538:E538)</f>
        <v>0.011</v>
      </c>
      <c r="F536" s="129"/>
      <c r="G536" s="129"/>
      <c r="H536" s="142"/>
    </row>
    <row r="537" spans="1:18" ht="15" customHeight="1">
      <c r="A537" s="231" t="s">
        <v>5</v>
      </c>
      <c r="B537" s="231"/>
      <c r="C537" s="80" t="s">
        <v>17</v>
      </c>
      <c r="D537" s="81" t="s">
        <v>18</v>
      </c>
      <c r="E537" s="80" t="s">
        <v>7</v>
      </c>
      <c r="F537" s="129"/>
      <c r="G537" s="131" t="str">
        <f>CONCATENATE("Misc. Healthy parts/ Non Ferrous  Scrap, Lying at ",C538,". Quantity in MT - ")</f>
        <v>Misc. Healthy parts/ Non Ferrous  Scrap, Lying at CS Malout. Quantity in MT - </v>
      </c>
      <c r="H537" s="178" t="str">
        <f ca="1">CONCATENATE(G537,G538,(INDIRECT(I538)),(INDIRECT(J538)),(INDIRECT(K538)),(INDIRECT(L538)),(INDIRECT(M538)),(INDIRECT(N538)),(INDIRECT(O538)),(INDIRECT(P538)),(INDIRECT(Q538)),(INDIRECT(R538)),".")</f>
        <v>Misc. Healthy parts/ Non Ferrous  Scrap, Lying at CS Malout. Quantity in MT - Brass scrap - 0.011, .</v>
      </c>
      <c r="I537" s="138" t="str">
        <f aca="true" ca="1" t="array" ref="I537">CELL("address",INDEX(G537:G559,MATCH(TRUE,ISBLANK(G537:G559),0)))</f>
        <v>$G$539</v>
      </c>
      <c r="J537" s="138">
        <f aca="true" t="array" ref="J537">MATCH(TRUE,ISBLANK(G537:G559),0)</f>
        <v>3</v>
      </c>
      <c r="K537" s="138">
        <f>J537-3</f>
        <v>0</v>
      </c>
      <c r="L537" s="138"/>
      <c r="M537" s="138"/>
      <c r="N537" s="138"/>
      <c r="O537" s="138"/>
      <c r="P537" s="138"/>
      <c r="Q537" s="138"/>
      <c r="R537" s="138"/>
    </row>
    <row r="538" spans="1:18" ht="15" customHeight="1">
      <c r="A538" s="231" t="s">
        <v>193</v>
      </c>
      <c r="B538" s="231"/>
      <c r="C538" s="184" t="s">
        <v>96</v>
      </c>
      <c r="D538" s="51" t="s">
        <v>23</v>
      </c>
      <c r="E538" s="53">
        <v>0.011</v>
      </c>
      <c r="F538" s="129"/>
      <c r="G538" s="129" t="str">
        <f>CONCATENATE(D538," - ",E538,", ")</f>
        <v>Brass scrap - 0.011, </v>
      </c>
      <c r="H538" s="178"/>
      <c r="I538" s="138" t="str">
        <f ca="1">IF(J537&gt;=3,(MID(I537,2,1)&amp;MID(I537,4,4)-K537),CELL("address",Z538))</f>
        <v>G539</v>
      </c>
      <c r="J538" s="138" t="str">
        <f ca="1">IF(J537&gt;=4,(MID(I538,1,1)&amp;MID(I538,2,4)+1),CELL("address",AA538))</f>
        <v>$AA$538</v>
      </c>
      <c r="K538" s="138" t="str">
        <f ca="1">IF(J537&gt;=5,(MID(J538,1,1)&amp;MID(J538,2,4)+1),CELL("address",AB538))</f>
        <v>$AB$538</v>
      </c>
      <c r="L538" s="138" t="str">
        <f ca="1">IF(J537&gt;=6,(MID(K538,1,1)&amp;MID(K538,2,4)+1),CELL("address",AC538))</f>
        <v>$AC$538</v>
      </c>
      <c r="M538" s="138" t="str">
        <f ca="1">IF(J537&gt;=7,(MID(L538,1,1)&amp;MID(L538,2,4)+1),CELL("address",AD538))</f>
        <v>$AD$538</v>
      </c>
      <c r="N538" s="138" t="str">
        <f ca="1">IF(J537&gt;=8,(MID(M538,1,1)&amp;MID(M538,2,4)+1),CELL("address",AE538))</f>
        <v>$AE$538</v>
      </c>
      <c r="O538" s="138" t="str">
        <f ca="1">IF(J537&gt;=9,(MID(N538,1,1)&amp;MID(N538,2,4)+1),CELL("address",AF538))</f>
        <v>$AF$538</v>
      </c>
      <c r="P538" s="138" t="str">
        <f ca="1">IF(J537&gt;=10,(MID(O538,1,1)&amp;MID(O538,2,4)+1),CELL("address",AG538))</f>
        <v>$AG$538</v>
      </c>
      <c r="Q538" s="138" t="str">
        <f ca="1">IF(J537&gt;=11,(MID(P538,1,1)&amp;MID(P538,2,4)+1),CELL("address",AH538))</f>
        <v>$AH$538</v>
      </c>
      <c r="R538" s="138" t="str">
        <f ca="1">IF(J537&gt;=12,(MID(Q538,1,1)&amp;MID(Q538,2,4)+1),CELL("address",AI538))</f>
        <v>$AI$538</v>
      </c>
    </row>
    <row r="539" spans="1:8" ht="15" customHeight="1">
      <c r="A539" s="259"/>
      <c r="B539" s="260"/>
      <c r="C539" s="129"/>
      <c r="D539" s="129"/>
      <c r="E539" s="129"/>
      <c r="F539" s="129"/>
      <c r="G539" s="129"/>
      <c r="H539" s="142"/>
    </row>
    <row r="540" spans="1:8" ht="15" customHeight="1">
      <c r="A540" s="238"/>
      <c r="B540" s="239"/>
      <c r="C540" s="83"/>
      <c r="D540" s="83"/>
      <c r="E540" s="84">
        <f>SUM(E542:E542)</f>
        <v>1</v>
      </c>
      <c r="F540" s="129"/>
      <c r="G540" s="129"/>
      <c r="H540" s="142"/>
    </row>
    <row r="541" spans="1:18" ht="15" customHeight="1">
      <c r="A541" s="231" t="s">
        <v>5</v>
      </c>
      <c r="B541" s="231"/>
      <c r="C541" s="80" t="s">
        <v>17</v>
      </c>
      <c r="D541" s="81" t="s">
        <v>18</v>
      </c>
      <c r="E541" s="80" t="s">
        <v>7</v>
      </c>
      <c r="F541" s="129"/>
      <c r="G541" s="131" t="str">
        <f>CONCATENATE("Misc. Healthy parts/ Non Ferrous  Scrap, Lying at ",C542,". Quantity in MT - ")</f>
        <v>Misc. Healthy parts/ Non Ferrous  Scrap, Lying at TRY Bathinda. Quantity in MT - </v>
      </c>
      <c r="H541" s="178" t="str">
        <f ca="1">CONCATENATE(G541,G542,(INDIRECT(I542)),(INDIRECT(J542)),(INDIRECT(K542)),(INDIRECT(L542)),(INDIRECT(M542)),(INDIRECT(N542)),(INDIRECT(O542)),(INDIRECT(P542)),(INDIRECT(Q542)),(INDIRECT(R542)),".")</f>
        <v>Misc. Healthy parts/ Non Ferrous  Scrap, Lying at TRY Bathinda. Quantity in MT - Brass scrap - 1, .</v>
      </c>
      <c r="I541" s="138" t="str">
        <f aca="true" ca="1" t="array" ref="I541">CELL("address",INDEX(G541:G563,MATCH(TRUE,ISBLANK(G541:G563),0)))</f>
        <v>$G$543</v>
      </c>
      <c r="J541" s="138">
        <f aca="true" t="array" ref="J541">MATCH(TRUE,ISBLANK(G541:G563),0)</f>
        <v>3</v>
      </c>
      <c r="K541" s="138">
        <f>J541-3</f>
        <v>0</v>
      </c>
      <c r="L541" s="138"/>
      <c r="M541" s="138"/>
      <c r="N541" s="138"/>
      <c r="O541" s="138"/>
      <c r="P541" s="138"/>
      <c r="Q541" s="138"/>
      <c r="R541" s="138"/>
    </row>
    <row r="542" spans="1:18" ht="15" customHeight="1">
      <c r="A542" s="231" t="s">
        <v>200</v>
      </c>
      <c r="B542" s="231"/>
      <c r="C542" s="184" t="s">
        <v>36</v>
      </c>
      <c r="D542" s="46" t="s">
        <v>23</v>
      </c>
      <c r="E542" s="52">
        <v>1</v>
      </c>
      <c r="F542" s="129"/>
      <c r="G542" s="129" t="str">
        <f>CONCATENATE(D542," - ",E542,", ")</f>
        <v>Brass scrap - 1, </v>
      </c>
      <c r="H542" s="178"/>
      <c r="I542" s="138" t="str">
        <f ca="1">IF(J541&gt;=3,(MID(I541,2,1)&amp;MID(I541,4,4)-K541),CELL("address",Z542))</f>
        <v>G543</v>
      </c>
      <c r="J542" s="138" t="str">
        <f ca="1">IF(J541&gt;=4,(MID(I542,1,1)&amp;MID(I542,2,4)+1),CELL("address",AA542))</f>
        <v>$AA$542</v>
      </c>
      <c r="K542" s="138" t="str">
        <f ca="1">IF(J541&gt;=5,(MID(J542,1,1)&amp;MID(J542,2,4)+1),CELL("address",AB542))</f>
        <v>$AB$542</v>
      </c>
      <c r="L542" s="138" t="str">
        <f ca="1">IF(J541&gt;=6,(MID(K542,1,1)&amp;MID(K542,2,4)+1),CELL("address",AC542))</f>
        <v>$AC$542</v>
      </c>
      <c r="M542" s="138" t="str">
        <f ca="1">IF(J541&gt;=7,(MID(L542,1,1)&amp;MID(L542,2,4)+1),CELL("address",AD542))</f>
        <v>$AD$542</v>
      </c>
      <c r="N542" s="138" t="str">
        <f ca="1">IF(J541&gt;=8,(MID(M542,1,1)&amp;MID(M542,2,4)+1),CELL("address",AE542))</f>
        <v>$AE$542</v>
      </c>
      <c r="O542" s="138" t="str">
        <f ca="1">IF(J541&gt;=9,(MID(N542,1,1)&amp;MID(N542,2,4)+1),CELL("address",AF542))</f>
        <v>$AF$542</v>
      </c>
      <c r="P542" s="138" t="str">
        <f ca="1">IF(J541&gt;=10,(MID(O542,1,1)&amp;MID(O542,2,4)+1),CELL("address",AG542))</f>
        <v>$AG$542</v>
      </c>
      <c r="Q542" s="138" t="str">
        <f ca="1">IF(J541&gt;=11,(MID(P542,1,1)&amp;MID(P542,2,4)+1),CELL("address",AH542))</f>
        <v>$AH$542</v>
      </c>
      <c r="R542" s="138" t="str">
        <f ca="1">IF(J541&gt;=12,(MID(Q542,1,1)&amp;MID(Q542,2,4)+1),CELL("address",AI542))</f>
        <v>$AI$542</v>
      </c>
    </row>
    <row r="543" spans="1:8" ht="15" customHeight="1">
      <c r="A543" s="259"/>
      <c r="B543" s="260"/>
      <c r="C543" s="129"/>
      <c r="D543" s="129"/>
      <c r="E543" s="129"/>
      <c r="F543" s="129"/>
      <c r="G543" s="129"/>
      <c r="H543" s="142"/>
    </row>
    <row r="544" spans="1:8" ht="15" customHeight="1">
      <c r="A544" s="238"/>
      <c r="B544" s="239"/>
      <c r="C544" s="83"/>
      <c r="D544" s="83"/>
      <c r="E544" s="84">
        <f>SUM(E546:E546)</f>
        <v>1</v>
      </c>
      <c r="F544" s="129"/>
      <c r="G544" s="129"/>
      <c r="H544" s="142"/>
    </row>
    <row r="545" spans="1:18" ht="15" customHeight="1">
      <c r="A545" s="231" t="s">
        <v>5</v>
      </c>
      <c r="B545" s="231"/>
      <c r="C545" s="80" t="s">
        <v>17</v>
      </c>
      <c r="D545" s="81" t="s">
        <v>18</v>
      </c>
      <c r="E545" s="80" t="s">
        <v>7</v>
      </c>
      <c r="F545" s="129"/>
      <c r="G545" s="131" t="str">
        <f>CONCATENATE("Misc. Healthy parts/ Non Ferrous  Scrap, Lying at ",C546,". Quantity in MT - ")</f>
        <v>Misc. Healthy parts/ Non Ferrous  Scrap, Lying at TRY Bathinda. Quantity in MT - </v>
      </c>
      <c r="H545" s="178" t="str">
        <f ca="1">CONCATENATE(G545,G546,(INDIRECT(I546)),(INDIRECT(J546)),(INDIRECT(K546)),(INDIRECT(L546)),(INDIRECT(M546)),(INDIRECT(N546)),(INDIRECT(O546)),(INDIRECT(P546)),(INDIRECT(Q546)),(INDIRECT(R546)),".")</f>
        <v>Misc. Healthy parts/ Non Ferrous  Scrap, Lying at TRY Bathinda. Quantity in MT - Brass scrap - 1, .</v>
      </c>
      <c r="I545" s="138" t="str">
        <f aca="true" ca="1" t="array" ref="I545">CELL("address",INDEX(G545:G567,MATCH(TRUE,ISBLANK(G545:G567),0)))</f>
        <v>$G$547</v>
      </c>
      <c r="J545" s="138">
        <f aca="true" t="array" ref="J545">MATCH(TRUE,ISBLANK(G545:G567),0)</f>
        <v>3</v>
      </c>
      <c r="K545" s="138">
        <f>J545-3</f>
        <v>0</v>
      </c>
      <c r="L545" s="138"/>
      <c r="M545" s="138"/>
      <c r="N545" s="138"/>
      <c r="O545" s="138"/>
      <c r="P545" s="138"/>
      <c r="Q545" s="138"/>
      <c r="R545" s="138"/>
    </row>
    <row r="546" spans="1:18" ht="15" customHeight="1">
      <c r="A546" s="231" t="s">
        <v>208</v>
      </c>
      <c r="B546" s="231"/>
      <c r="C546" s="184" t="s">
        <v>36</v>
      </c>
      <c r="D546" s="46" t="s">
        <v>23</v>
      </c>
      <c r="E546" s="52">
        <v>1</v>
      </c>
      <c r="F546" s="129"/>
      <c r="G546" s="129" t="str">
        <f>CONCATENATE(D546," - ",E546,", ")</f>
        <v>Brass scrap - 1, </v>
      </c>
      <c r="H546" s="178"/>
      <c r="I546" s="138" t="str">
        <f ca="1">IF(J545&gt;=3,(MID(I545,2,1)&amp;MID(I545,4,4)-K545),CELL("address",Z546))</f>
        <v>G547</v>
      </c>
      <c r="J546" s="138" t="str">
        <f ca="1">IF(J545&gt;=4,(MID(I546,1,1)&amp;MID(I546,2,4)+1),CELL("address",AA546))</f>
        <v>$AA$546</v>
      </c>
      <c r="K546" s="138" t="str">
        <f ca="1">IF(J545&gt;=5,(MID(J546,1,1)&amp;MID(J546,2,4)+1),CELL("address",AB546))</f>
        <v>$AB$546</v>
      </c>
      <c r="L546" s="138" t="str">
        <f ca="1">IF(J545&gt;=6,(MID(K546,1,1)&amp;MID(K546,2,4)+1),CELL("address",AC546))</f>
        <v>$AC$546</v>
      </c>
      <c r="M546" s="138" t="str">
        <f ca="1">IF(J545&gt;=7,(MID(L546,1,1)&amp;MID(L546,2,4)+1),CELL("address",AD546))</f>
        <v>$AD$546</v>
      </c>
      <c r="N546" s="138" t="str">
        <f ca="1">IF(J545&gt;=8,(MID(M546,1,1)&amp;MID(M546,2,4)+1),CELL("address",AE546))</f>
        <v>$AE$546</v>
      </c>
      <c r="O546" s="138" t="str">
        <f ca="1">IF(J545&gt;=9,(MID(N546,1,1)&amp;MID(N546,2,4)+1),CELL("address",AF546))</f>
        <v>$AF$546</v>
      </c>
      <c r="P546" s="138" t="str">
        <f ca="1">IF(J545&gt;=10,(MID(O546,1,1)&amp;MID(O546,2,4)+1),CELL("address",AG546))</f>
        <v>$AG$546</v>
      </c>
      <c r="Q546" s="138" t="str">
        <f ca="1">IF(J545&gt;=11,(MID(P546,1,1)&amp;MID(P546,2,4)+1),CELL("address",AH546))</f>
        <v>$AH$546</v>
      </c>
      <c r="R546" s="138" t="str">
        <f ca="1">IF(J545&gt;=12,(MID(Q546,1,1)&amp;MID(Q546,2,4)+1),CELL("address",AI546))</f>
        <v>$AI$546</v>
      </c>
    </row>
    <row r="547" spans="1:8" ht="15" customHeight="1">
      <c r="A547" s="259"/>
      <c r="B547" s="260"/>
      <c r="C547" s="129"/>
      <c r="D547" s="129"/>
      <c r="E547" s="129"/>
      <c r="F547" s="129"/>
      <c r="G547" s="129"/>
      <c r="H547" s="142"/>
    </row>
    <row r="548" spans="1:8" ht="15" customHeight="1">
      <c r="A548" s="238"/>
      <c r="B548" s="239"/>
      <c r="C548" s="83"/>
      <c r="D548" s="83"/>
      <c r="E548" s="84">
        <f>SUM(E550:E550)</f>
        <v>1</v>
      </c>
      <c r="F548" s="129"/>
      <c r="G548" s="129"/>
      <c r="H548" s="142"/>
    </row>
    <row r="549" spans="1:18" ht="15" customHeight="1">
      <c r="A549" s="231" t="s">
        <v>5</v>
      </c>
      <c r="B549" s="231"/>
      <c r="C549" s="80" t="s">
        <v>17</v>
      </c>
      <c r="D549" s="81" t="s">
        <v>18</v>
      </c>
      <c r="E549" s="80" t="s">
        <v>7</v>
      </c>
      <c r="F549" s="129"/>
      <c r="G549" s="131" t="str">
        <f>CONCATENATE("Misc. Healthy parts/ Non Ferrous  Scrap, Lying at ",C550,". Quantity in MT - ")</f>
        <v>Misc. Healthy parts/ Non Ferrous  Scrap, Lying at TRY Bathinda. Quantity in MT - </v>
      </c>
      <c r="H549" s="178" t="str">
        <f ca="1">CONCATENATE(G549,G550,(INDIRECT(I550)),(INDIRECT(J550)),(INDIRECT(K550)),(INDIRECT(L550)),(INDIRECT(M550)),(INDIRECT(N550)),(INDIRECT(O550)),(INDIRECT(P550)),(INDIRECT(Q550)),(INDIRECT(R550)),".")</f>
        <v>Misc. Healthy parts/ Non Ferrous  Scrap, Lying at TRY Bathinda. Quantity in MT - Brass scrap - 1, .</v>
      </c>
      <c r="I549" s="138" t="str">
        <f aca="true" ca="1" t="array" ref="I549">CELL("address",INDEX(G549:G571,MATCH(TRUE,ISBLANK(G549:G571),0)))</f>
        <v>$G$551</v>
      </c>
      <c r="J549" s="138">
        <f aca="true" t="array" ref="J549">MATCH(TRUE,ISBLANK(G549:G571),0)</f>
        <v>3</v>
      </c>
      <c r="K549" s="138">
        <f>J549-3</f>
        <v>0</v>
      </c>
      <c r="L549" s="138"/>
      <c r="M549" s="138"/>
      <c r="N549" s="138"/>
      <c r="O549" s="138"/>
      <c r="P549" s="138"/>
      <c r="Q549" s="138"/>
      <c r="R549" s="138"/>
    </row>
    <row r="550" spans="1:18" ht="15" customHeight="1">
      <c r="A550" s="231" t="s">
        <v>235</v>
      </c>
      <c r="B550" s="231"/>
      <c r="C550" s="184" t="s">
        <v>36</v>
      </c>
      <c r="D550" s="46" t="s">
        <v>23</v>
      </c>
      <c r="E550" s="52">
        <v>1</v>
      </c>
      <c r="F550" s="129"/>
      <c r="G550" s="129" t="str">
        <f>CONCATENATE(D550," - ",E550,", ")</f>
        <v>Brass scrap - 1, </v>
      </c>
      <c r="H550" s="178"/>
      <c r="I550" s="138" t="str">
        <f ca="1">IF(J549&gt;=3,(MID(I549,2,1)&amp;MID(I549,4,4)-K549),CELL("address",Z550))</f>
        <v>G551</v>
      </c>
      <c r="J550" s="138" t="str">
        <f ca="1">IF(J549&gt;=4,(MID(I550,1,1)&amp;MID(I550,2,4)+1),CELL("address",AA550))</f>
        <v>$AA$550</v>
      </c>
      <c r="K550" s="138" t="str">
        <f ca="1">IF(J549&gt;=5,(MID(J550,1,1)&amp;MID(J550,2,4)+1),CELL("address",AB550))</f>
        <v>$AB$550</v>
      </c>
      <c r="L550" s="138" t="str">
        <f ca="1">IF(J549&gt;=6,(MID(K550,1,1)&amp;MID(K550,2,4)+1),CELL("address",AC550))</f>
        <v>$AC$550</v>
      </c>
      <c r="M550" s="138" t="str">
        <f ca="1">IF(J549&gt;=7,(MID(L550,1,1)&amp;MID(L550,2,4)+1),CELL("address",AD550))</f>
        <v>$AD$550</v>
      </c>
      <c r="N550" s="138" t="str">
        <f ca="1">IF(J549&gt;=8,(MID(M550,1,1)&amp;MID(M550,2,4)+1),CELL("address",AE550))</f>
        <v>$AE$550</v>
      </c>
      <c r="O550" s="138" t="str">
        <f ca="1">IF(J549&gt;=9,(MID(N550,1,1)&amp;MID(N550,2,4)+1),CELL("address",AF550))</f>
        <v>$AF$550</v>
      </c>
      <c r="P550" s="138" t="str">
        <f ca="1">IF(J549&gt;=10,(MID(O550,1,1)&amp;MID(O550,2,4)+1),CELL("address",AG550))</f>
        <v>$AG$550</v>
      </c>
      <c r="Q550" s="138" t="str">
        <f ca="1">IF(J549&gt;=11,(MID(P550,1,1)&amp;MID(P550,2,4)+1),CELL("address",AH550))</f>
        <v>$AH$550</v>
      </c>
      <c r="R550" s="138" t="str">
        <f ca="1">IF(J549&gt;=12,(MID(Q550,1,1)&amp;MID(Q550,2,4)+1),CELL("address",AI550))</f>
        <v>$AI$550</v>
      </c>
    </row>
    <row r="551" spans="1:8" ht="15" customHeight="1">
      <c r="A551" s="259"/>
      <c r="B551" s="260"/>
      <c r="C551" s="129"/>
      <c r="D551" s="129"/>
      <c r="E551" s="129"/>
      <c r="F551" s="129"/>
      <c r="G551" s="129"/>
      <c r="H551" s="142"/>
    </row>
    <row r="552" spans="1:8" ht="15" customHeight="1">
      <c r="A552" s="238"/>
      <c r="B552" s="239"/>
      <c r="C552" s="83"/>
      <c r="D552" s="83"/>
      <c r="E552" s="84">
        <f>SUM(E554:E554)</f>
        <v>1</v>
      </c>
      <c r="F552" s="258"/>
      <c r="G552" s="258"/>
      <c r="H552" s="142"/>
    </row>
    <row r="553" spans="1:18" ht="15" customHeight="1">
      <c r="A553" s="231" t="s">
        <v>5</v>
      </c>
      <c r="B553" s="231"/>
      <c r="C553" s="80" t="s">
        <v>17</v>
      </c>
      <c r="D553" s="81" t="s">
        <v>18</v>
      </c>
      <c r="E553" s="80" t="s">
        <v>7</v>
      </c>
      <c r="F553" s="129"/>
      <c r="G553" s="131" t="str">
        <f>CONCATENATE("Misc. Healthy parts/ Non Ferrous  Scrap, Lying at ",C554,". Quantity in MT - ")</f>
        <v>Misc. Healthy parts/ Non Ferrous  Scrap, Lying at TRY Bathinda. Quantity in MT - </v>
      </c>
      <c r="H553" s="178" t="str">
        <f ca="1">CONCATENATE(G553,G554,(INDIRECT(I554)),(INDIRECT(J554)),(INDIRECT(K554)),(INDIRECT(L554)),(INDIRECT(M554)),(INDIRECT(N554)),(INDIRECT(O554)),(INDIRECT(P554)),(INDIRECT(Q554)),(INDIRECT(R554)),".")</f>
        <v>Misc. Healthy parts/ Non Ferrous  Scrap, Lying at TRY Bathinda. Quantity in MT - Brass scrap - 1, .</v>
      </c>
      <c r="I553" s="138" t="str">
        <f aca="true" ca="1" t="array" ref="I553">CELL("address",INDEX(G553:G575,MATCH(TRUE,ISBLANK(G553:G575),0)))</f>
        <v>$G$555</v>
      </c>
      <c r="J553" s="138">
        <f aca="true" t="array" ref="J553">MATCH(TRUE,ISBLANK(G553:G575),0)</f>
        <v>3</v>
      </c>
      <c r="K553" s="138">
        <f>J553-3</f>
        <v>0</v>
      </c>
      <c r="L553" s="138"/>
      <c r="M553" s="138"/>
      <c r="N553" s="138"/>
      <c r="O553" s="138"/>
      <c r="P553" s="138"/>
      <c r="Q553" s="138"/>
      <c r="R553" s="138"/>
    </row>
    <row r="554" spans="1:18" ht="15" customHeight="1">
      <c r="A554" s="231" t="s">
        <v>191</v>
      </c>
      <c r="B554" s="231"/>
      <c r="C554" s="184" t="s">
        <v>36</v>
      </c>
      <c r="D554" s="46" t="s">
        <v>23</v>
      </c>
      <c r="E554" s="52">
        <v>1</v>
      </c>
      <c r="F554" s="129"/>
      <c r="G554" s="129" t="str">
        <f>CONCATENATE(D554," - ",E554,", ")</f>
        <v>Brass scrap - 1, </v>
      </c>
      <c r="H554" s="178"/>
      <c r="I554" s="138" t="str">
        <f ca="1">IF(J553&gt;=3,(MID(I553,2,1)&amp;MID(I553,4,4)-K553),CELL("address",Z554))</f>
        <v>G555</v>
      </c>
      <c r="J554" s="138" t="str">
        <f ca="1">IF(J553&gt;=4,(MID(I554,1,1)&amp;MID(I554,2,4)+1),CELL("address",AA554))</f>
        <v>$AA$554</v>
      </c>
      <c r="K554" s="138" t="str">
        <f ca="1">IF(J553&gt;=5,(MID(J554,1,1)&amp;MID(J554,2,4)+1),CELL("address",AB554))</f>
        <v>$AB$554</v>
      </c>
      <c r="L554" s="138" t="str">
        <f ca="1">IF(J553&gt;=6,(MID(K554,1,1)&amp;MID(K554,2,4)+1),CELL("address",AC554))</f>
        <v>$AC$554</v>
      </c>
      <c r="M554" s="138" t="str">
        <f ca="1">IF(J553&gt;=7,(MID(L554,1,1)&amp;MID(L554,2,4)+1),CELL("address",AD554))</f>
        <v>$AD$554</v>
      </c>
      <c r="N554" s="138" t="str">
        <f ca="1">IF(J553&gt;=8,(MID(M554,1,1)&amp;MID(M554,2,4)+1),CELL("address",AE554))</f>
        <v>$AE$554</v>
      </c>
      <c r="O554" s="138" t="str">
        <f ca="1">IF(J553&gt;=9,(MID(N554,1,1)&amp;MID(N554,2,4)+1),CELL("address",AF554))</f>
        <v>$AF$554</v>
      </c>
      <c r="P554" s="138" t="str">
        <f ca="1">IF(J553&gt;=10,(MID(O554,1,1)&amp;MID(O554,2,4)+1),CELL("address",AG554))</f>
        <v>$AG$554</v>
      </c>
      <c r="Q554" s="138" t="str">
        <f ca="1">IF(J553&gt;=11,(MID(P554,1,1)&amp;MID(P554,2,4)+1),CELL("address",AH554))</f>
        <v>$AH$554</v>
      </c>
      <c r="R554" s="138" t="str">
        <f ca="1">IF(J553&gt;=12,(MID(Q554,1,1)&amp;MID(Q554,2,4)+1),CELL("address",AI554))</f>
        <v>$AI$554</v>
      </c>
    </row>
    <row r="555" spans="1:8" ht="15" customHeight="1">
      <c r="A555" s="58"/>
      <c r="B555" s="61"/>
      <c r="C555" s="22"/>
      <c r="D555" s="61"/>
      <c r="E555" s="136"/>
      <c r="F555" s="129"/>
      <c r="G555" s="129"/>
      <c r="H555" s="143"/>
    </row>
    <row r="556" spans="1:8" ht="15" customHeight="1">
      <c r="A556" s="238"/>
      <c r="B556" s="239"/>
      <c r="C556" s="83"/>
      <c r="D556" s="83"/>
      <c r="E556" s="84">
        <f>SUM(E558:E560)</f>
        <v>2.129</v>
      </c>
      <c r="F556" s="129"/>
      <c r="G556" s="129"/>
      <c r="H556" s="143"/>
    </row>
    <row r="557" spans="1:18" ht="15" customHeight="1">
      <c r="A557" s="231" t="s">
        <v>5</v>
      </c>
      <c r="B557" s="231"/>
      <c r="C557" s="80" t="s">
        <v>17</v>
      </c>
      <c r="D557" s="81" t="s">
        <v>18</v>
      </c>
      <c r="E557" s="80" t="s">
        <v>7</v>
      </c>
      <c r="F557" s="129"/>
      <c r="G557" s="131" t="str">
        <f>CONCATENATE("Misc. Healthy parts/ Non Ferrous  Scrap, Lying at ",C558,". Quantity in MT - ")</f>
        <v>Misc. Healthy parts/ Non Ferrous  Scrap, Lying at TRY Kotkapura. Quantity in MT - </v>
      </c>
      <c r="H557" s="178" t="str">
        <f ca="1">CONCATENATE(G557,G558,(INDIRECT(I558)),(INDIRECT(J558)),(INDIRECT(K558)),(INDIRECT(L558)),(INDIRECT(M558)),(INDIRECT(N558)),(INDIRECT(O558)),(INDIRECT(P558)),(INDIRECT(Q558)),(INDIRECT(R558)),".")</f>
        <v>Misc. Healthy parts/ Non Ferrous  Scrap, Lying at TRY Kotkapura. Quantity in MT - Brass scrap - 1.754, Misc. Alumn. Scrap - 0.269, Iron scrap - 0.106, .</v>
      </c>
      <c r="I557" s="138" t="str">
        <f aca="true" ca="1" t="array" ref="I557">CELL("address",INDEX(G557:G579,MATCH(TRUE,ISBLANK(G557:G579),0)))</f>
        <v>$G$561</v>
      </c>
      <c r="J557" s="138">
        <f aca="true" t="array" ref="J557">MATCH(TRUE,ISBLANK(G557:G579),0)</f>
        <v>5</v>
      </c>
      <c r="K557" s="138">
        <f>J557-3</f>
        <v>2</v>
      </c>
      <c r="L557" s="138"/>
      <c r="M557" s="138"/>
      <c r="N557" s="138"/>
      <c r="O557" s="138"/>
      <c r="P557" s="138"/>
      <c r="Q557" s="138"/>
      <c r="R557" s="138"/>
    </row>
    <row r="558" spans="1:18" ht="15" customHeight="1">
      <c r="A558" s="231" t="s">
        <v>192</v>
      </c>
      <c r="B558" s="231"/>
      <c r="C558" s="237" t="s">
        <v>249</v>
      </c>
      <c r="D558" s="51" t="s">
        <v>23</v>
      </c>
      <c r="E558" s="53">
        <v>1.754</v>
      </c>
      <c r="F558" s="129"/>
      <c r="G558" s="129" t="str">
        <f>CONCATENATE(D558," - ",E558,", ")</f>
        <v>Brass scrap - 1.754, </v>
      </c>
      <c r="H558" s="178"/>
      <c r="I558" s="138" t="str">
        <f ca="1">IF(J557&gt;=3,(MID(I557,2,1)&amp;MID(I557,4,4)-K557),CELL("address",Z558))</f>
        <v>G559</v>
      </c>
      <c r="J558" s="138" t="str">
        <f ca="1">IF(J557&gt;=4,(MID(I558,1,1)&amp;MID(I558,2,4)+1),CELL("address",AA558))</f>
        <v>G560</v>
      </c>
      <c r="K558" s="138" t="str">
        <f ca="1">IF(J557&gt;=5,(MID(J558,1,1)&amp;MID(J558,2,4)+1),CELL("address",AB558))</f>
        <v>G561</v>
      </c>
      <c r="L558" s="138" t="str">
        <f ca="1">IF(J557&gt;=6,(MID(K558,1,1)&amp;MID(K558,2,4)+1),CELL("address",AC558))</f>
        <v>$AC$558</v>
      </c>
      <c r="M558" s="138" t="str">
        <f ca="1">IF(J557&gt;=7,(MID(L558,1,1)&amp;MID(L558,2,4)+1),CELL("address",AD558))</f>
        <v>$AD$558</v>
      </c>
      <c r="N558" s="138" t="str">
        <f ca="1">IF(J557&gt;=8,(MID(M558,1,1)&amp;MID(M558,2,4)+1),CELL("address",AE558))</f>
        <v>$AE$558</v>
      </c>
      <c r="O558" s="138" t="str">
        <f ca="1">IF(J557&gt;=9,(MID(N558,1,1)&amp;MID(N558,2,4)+1),CELL("address",AF558))</f>
        <v>$AF$558</v>
      </c>
      <c r="P558" s="138" t="str">
        <f ca="1">IF(J557&gt;=10,(MID(O558,1,1)&amp;MID(O558,2,4)+1),CELL("address",AG558))</f>
        <v>$AG$558</v>
      </c>
      <c r="Q558" s="138" t="str">
        <f ca="1">IF(J557&gt;=11,(MID(P558,1,1)&amp;MID(P558,2,4)+1),CELL("address",AH558))</f>
        <v>$AH$558</v>
      </c>
      <c r="R558" s="138" t="str">
        <f ca="1">IF(J557&gt;=12,(MID(Q558,1,1)&amp;MID(Q558,2,4)+1),CELL("address",AI558))</f>
        <v>$AI$558</v>
      </c>
    </row>
    <row r="559" spans="1:8" ht="15" customHeight="1">
      <c r="A559" s="231"/>
      <c r="B559" s="231"/>
      <c r="C559" s="237"/>
      <c r="D559" s="51" t="s">
        <v>31</v>
      </c>
      <c r="E559" s="80">
        <v>0.269</v>
      </c>
      <c r="F559" s="129"/>
      <c r="G559" s="129" t="str">
        <f>CONCATENATE(D559," - ",E559,", ")</f>
        <v>Misc. Alumn. Scrap - 0.269, </v>
      </c>
      <c r="H559" s="143"/>
    </row>
    <row r="560" spans="1:8" ht="15" customHeight="1">
      <c r="A560" s="231"/>
      <c r="B560" s="231"/>
      <c r="C560" s="237"/>
      <c r="D560" s="46" t="s">
        <v>27</v>
      </c>
      <c r="E560" s="80">
        <v>0.106</v>
      </c>
      <c r="F560" s="129"/>
      <c r="G560" s="146" t="str">
        <f>CONCATENATE(D560," - ",E560,", ")</f>
        <v>Iron scrap - 0.106, </v>
      </c>
      <c r="H560" s="142"/>
    </row>
    <row r="561" spans="1:8" ht="15" customHeight="1">
      <c r="A561" s="232"/>
      <c r="B561" s="233"/>
      <c r="C561" s="184"/>
      <c r="D561" s="185"/>
      <c r="E561" s="151"/>
      <c r="F561" s="129"/>
      <c r="G561" s="129"/>
      <c r="H561" s="142"/>
    </row>
    <row r="562" spans="1:8" ht="15" customHeight="1">
      <c r="A562" s="238"/>
      <c r="B562" s="239"/>
      <c r="C562" s="83"/>
      <c r="D562" s="83"/>
      <c r="E562" s="84">
        <f>SUM(E564:E567)</f>
        <v>1.557</v>
      </c>
      <c r="F562" s="129"/>
      <c r="G562" s="129"/>
      <c r="H562" s="142"/>
    </row>
    <row r="563" spans="1:18" ht="15" customHeight="1">
      <c r="A563" s="232" t="s">
        <v>5</v>
      </c>
      <c r="B563" s="233"/>
      <c r="C563" s="80" t="s">
        <v>17</v>
      </c>
      <c r="D563" s="81" t="s">
        <v>18</v>
      </c>
      <c r="E563" s="80" t="s">
        <v>7</v>
      </c>
      <c r="F563" s="129"/>
      <c r="G563" s="131" t="str">
        <f>CONCATENATE("Misc. Healthy parts/ Non Ferrous  Scrap, Lying at ",C564,". Quantity in MT - ")</f>
        <v>Misc. Healthy parts/ Non Ferrous  Scrap, Lying at TRY Mansa. Quantity in MT - </v>
      </c>
      <c r="H563" s="178" t="str">
        <f ca="1">CONCATENATE(G563,G564,(INDIRECT(I564)),(INDIRECT(J564)),(INDIRECT(K564)),(INDIRECT(L564)),(INDIRECT(M564)),(INDIRECT(N564)),(INDIRECT(O564)),(INDIRECT(P564)),(INDIRECT(Q564)),(INDIRECT(R564)),".")</f>
        <v>Misc. Healthy parts/ Non Ferrous  Scrap, Lying at TRY Mansa. Quantity in MT - Brass scrap - 1.302, Misc. Aluminium scrap - 0.147, Burnt Cu scrap - 0.027,  Iron scrap - 0.081, .</v>
      </c>
      <c r="I563" s="138" t="str">
        <f aca="true" ca="1" t="array" ref="I563">CELL("address",INDEX(G563:G585,MATCH(TRUE,ISBLANK(G563:G585),0)))</f>
        <v>$G$568</v>
      </c>
      <c r="J563" s="138">
        <f aca="true" t="array" ref="J563">MATCH(TRUE,ISBLANK(G563:G585),0)</f>
        <v>6</v>
      </c>
      <c r="K563" s="138">
        <f>J563-3</f>
        <v>3</v>
      </c>
      <c r="L563" s="138"/>
      <c r="M563" s="138"/>
      <c r="N563" s="138"/>
      <c r="O563" s="138"/>
      <c r="P563" s="138"/>
      <c r="Q563" s="138"/>
      <c r="R563" s="138"/>
    </row>
    <row r="564" spans="1:18" ht="15" customHeight="1">
      <c r="A564" s="231" t="s">
        <v>236</v>
      </c>
      <c r="B564" s="231"/>
      <c r="C564" s="237" t="s">
        <v>167</v>
      </c>
      <c r="D564" s="46" t="s">
        <v>23</v>
      </c>
      <c r="E564" s="52">
        <v>1.302</v>
      </c>
      <c r="F564" s="129"/>
      <c r="G564" s="129" t="str">
        <f>CONCATENATE(D564," - ",E564,", ")</f>
        <v>Brass scrap - 1.302, </v>
      </c>
      <c r="H564" s="178"/>
      <c r="I564" s="138" t="str">
        <f ca="1">IF(J563&gt;=3,(MID(I563,2,1)&amp;MID(I563,4,4)-K563),CELL("address",Z564))</f>
        <v>G565</v>
      </c>
      <c r="J564" s="138" t="str">
        <f ca="1">IF(J563&gt;=4,(MID(I564,1,1)&amp;MID(I564,2,4)+1),CELL("address",AA564))</f>
        <v>G566</v>
      </c>
      <c r="K564" s="138" t="str">
        <f ca="1">IF(J563&gt;=5,(MID(J564,1,1)&amp;MID(J564,2,4)+1),CELL("address",AB564))</f>
        <v>G567</v>
      </c>
      <c r="L564" s="138" t="str">
        <f ca="1">IF(J563&gt;=6,(MID(K564,1,1)&amp;MID(K564,2,4)+1),CELL("address",AC564))</f>
        <v>G568</v>
      </c>
      <c r="M564" s="138" t="str">
        <f ca="1">IF(J563&gt;=7,(MID(L564,1,1)&amp;MID(L564,2,4)+1),CELL("address",AD564))</f>
        <v>$AD$564</v>
      </c>
      <c r="N564" s="138" t="str">
        <f ca="1">IF(J563&gt;=8,(MID(M564,1,1)&amp;MID(M564,2,4)+1),CELL("address",AE564))</f>
        <v>$AE$564</v>
      </c>
      <c r="O564" s="138" t="str">
        <f ca="1">IF(J563&gt;=9,(MID(N564,1,1)&amp;MID(N564,2,4)+1),CELL("address",AF564))</f>
        <v>$AF$564</v>
      </c>
      <c r="P564" s="138" t="str">
        <f ca="1">IF(J563&gt;=10,(MID(O564,1,1)&amp;MID(O564,2,4)+1),CELL("address",AG564))</f>
        <v>$AG$564</v>
      </c>
      <c r="Q564" s="138" t="str">
        <f ca="1">IF(J563&gt;=11,(MID(P564,1,1)&amp;MID(P564,2,4)+1),CELL("address",AH564))</f>
        <v>$AH$564</v>
      </c>
      <c r="R564" s="138" t="str">
        <f ca="1">IF(J563&gt;=12,(MID(Q564,1,1)&amp;MID(Q564,2,4)+1),CELL("address",AI564))</f>
        <v>$AI$564</v>
      </c>
    </row>
    <row r="565" spans="1:8" ht="15" customHeight="1">
      <c r="A565" s="231"/>
      <c r="B565" s="231"/>
      <c r="C565" s="237"/>
      <c r="D565" s="46" t="s">
        <v>24</v>
      </c>
      <c r="E565" s="52">
        <v>0.147</v>
      </c>
      <c r="F565" s="129"/>
      <c r="G565" s="129" t="str">
        <f>CONCATENATE(D565," - ",E565,", ")</f>
        <v>Misc. Aluminium scrap - 0.147, </v>
      </c>
      <c r="H565" s="142"/>
    </row>
    <row r="566" spans="1:8" ht="15" customHeight="1">
      <c r="A566" s="231"/>
      <c r="B566" s="231"/>
      <c r="C566" s="237"/>
      <c r="D566" s="46" t="s">
        <v>37</v>
      </c>
      <c r="E566" s="52">
        <v>0.027</v>
      </c>
      <c r="F566" s="129"/>
      <c r="G566" s="129" t="str">
        <f>CONCATENATE(D566," - ",E566,", ")</f>
        <v>Burnt Cu scrap - 0.027, </v>
      </c>
      <c r="H566" s="142"/>
    </row>
    <row r="567" spans="1:8" ht="15" customHeight="1">
      <c r="A567" s="231"/>
      <c r="B567" s="231"/>
      <c r="C567" s="237"/>
      <c r="D567" s="51" t="s">
        <v>76</v>
      </c>
      <c r="E567" s="52">
        <v>0.081</v>
      </c>
      <c r="F567" s="129"/>
      <c r="G567" s="129" t="str">
        <f>CONCATENATE(D567," - ",E567,", ")</f>
        <v> Iron scrap - 0.081, </v>
      </c>
      <c r="H567" s="144"/>
    </row>
    <row r="568" spans="1:8" ht="15" customHeight="1">
      <c r="A568" s="41"/>
      <c r="B568" s="1"/>
      <c r="C568" s="1"/>
      <c r="D568" s="1"/>
      <c r="E568" s="1"/>
      <c r="F568" s="129"/>
      <c r="G568" s="129"/>
      <c r="H568" s="142"/>
    </row>
    <row r="569" spans="1:8" ht="15" customHeight="1">
      <c r="A569" s="238"/>
      <c r="B569" s="239"/>
      <c r="C569" s="83"/>
      <c r="D569" s="83"/>
      <c r="E569" s="84">
        <f>SUM(E571:E575)</f>
        <v>2.086</v>
      </c>
      <c r="F569" s="129"/>
      <c r="G569" s="129"/>
      <c r="H569" s="142"/>
    </row>
    <row r="570" spans="1:18" ht="15" customHeight="1">
      <c r="A570" s="232" t="s">
        <v>5</v>
      </c>
      <c r="B570" s="233"/>
      <c r="C570" s="80" t="s">
        <v>17</v>
      </c>
      <c r="D570" s="81" t="s">
        <v>18</v>
      </c>
      <c r="E570" s="80" t="s">
        <v>7</v>
      </c>
      <c r="F570" s="129"/>
      <c r="G570" s="131" t="str">
        <f>CONCATENATE("Misc. Healthy parts/ Non Ferrous  Scrap, Lying at ",C571,". Quantity in MT - ")</f>
        <v>Misc. Healthy parts/ Non Ferrous  Scrap, Lying at TRY Bhagta Bhai Ka. Quantity in MT - </v>
      </c>
      <c r="H570" s="256" t="str">
        <f ca="1">CONCATENATE(G570,G571,(INDIRECT(I571)),(INDIRECT(J571)),(INDIRECT(K571)),(INDIRECT(L571)),(INDIRECT(M571)),(INDIRECT(N571)),(INDIRECT(O571)),(INDIRECT(P571)),(INDIRECT(Q571)),(INDIRECT(R571)),".")</f>
        <v>Misc. Healthy parts/ Non Ferrous  Scrap, Lying at TRY Bhagta Bhai Ka. Quantity in MT - Brass scrap - 1.22, Misc. Aluminium scrap - 0.151, Burnt Cu scrap - 0.037,  Iron scrap - 0.088, Nuts &amp; Bolts scrap - 0.59, .</v>
      </c>
      <c r="I570" s="138" t="str">
        <f aca="true" ca="1" t="array" ref="I570">CELL("address",INDEX(G570:G592,MATCH(TRUE,ISBLANK(G570:G592),0)))</f>
        <v>$G$576</v>
      </c>
      <c r="J570" s="138">
        <f aca="true" t="array" ref="J570">MATCH(TRUE,ISBLANK(G570:G592),0)</f>
        <v>7</v>
      </c>
      <c r="K570" s="138">
        <f>J570-3</f>
        <v>4</v>
      </c>
      <c r="L570" s="138"/>
      <c r="M570" s="138"/>
      <c r="N570" s="138"/>
      <c r="O570" s="138"/>
      <c r="P570" s="138"/>
      <c r="Q570" s="138"/>
      <c r="R570" s="138"/>
    </row>
    <row r="571" spans="1:18" ht="15" customHeight="1">
      <c r="A571" s="244" t="s">
        <v>251</v>
      </c>
      <c r="B571" s="245"/>
      <c r="C571" s="250" t="s">
        <v>133</v>
      </c>
      <c r="D571" s="46" t="s">
        <v>23</v>
      </c>
      <c r="E571" s="52">
        <v>1.22</v>
      </c>
      <c r="F571" s="129"/>
      <c r="G571" s="129" t="str">
        <f>CONCATENATE(D571," - ",E571,", ")</f>
        <v>Brass scrap - 1.22, </v>
      </c>
      <c r="H571" s="257"/>
      <c r="I571" s="138" t="str">
        <f ca="1">IF(J570&gt;=3,(MID(I570,2,1)&amp;MID(I570,4,4)-K570),CELL("address",Z571))</f>
        <v>G572</v>
      </c>
      <c r="J571" s="138" t="str">
        <f ca="1">IF(J570&gt;=4,(MID(I571,1,1)&amp;MID(I571,2,4)+1),CELL("address",AA571))</f>
        <v>G573</v>
      </c>
      <c r="K571" s="138" t="str">
        <f ca="1">IF(J570&gt;=5,(MID(J571,1,1)&amp;MID(J571,2,4)+1),CELL("address",AB571))</f>
        <v>G574</v>
      </c>
      <c r="L571" s="138" t="str">
        <f ca="1">IF(J570&gt;=6,(MID(K571,1,1)&amp;MID(K571,2,4)+1),CELL("address",AC571))</f>
        <v>G575</v>
      </c>
      <c r="M571" s="138" t="str">
        <f ca="1">IF(J570&gt;=7,(MID(L571,1,1)&amp;MID(L571,2,4)+1),CELL("address",AD571))</f>
        <v>G576</v>
      </c>
      <c r="N571" s="138" t="str">
        <f ca="1">IF(J570&gt;=8,(MID(M571,1,1)&amp;MID(M571,2,4)+1),CELL("address",AE571))</f>
        <v>$AE$571</v>
      </c>
      <c r="O571" s="138" t="str">
        <f ca="1">IF(J570&gt;=9,(MID(N571,1,1)&amp;MID(N571,2,4)+1),CELL("address",AF571))</f>
        <v>$AF$571</v>
      </c>
      <c r="P571" s="138" t="str">
        <f ca="1">IF(J570&gt;=10,(MID(O571,1,1)&amp;MID(O571,2,4)+1),CELL("address",AG571))</f>
        <v>$AG$571</v>
      </c>
      <c r="Q571" s="138" t="str">
        <f ca="1">IF(J570&gt;=11,(MID(P571,1,1)&amp;MID(P571,2,4)+1),CELL("address",AH571))</f>
        <v>$AH$571</v>
      </c>
      <c r="R571" s="138" t="str">
        <f ca="1">IF(J570&gt;=12,(MID(Q571,1,1)&amp;MID(Q571,2,4)+1),CELL("address",AI571))</f>
        <v>$AI$571</v>
      </c>
    </row>
    <row r="572" spans="1:8" ht="15" customHeight="1">
      <c r="A572" s="246"/>
      <c r="B572" s="247"/>
      <c r="C572" s="251"/>
      <c r="D572" s="46" t="s">
        <v>24</v>
      </c>
      <c r="E572" s="52">
        <v>0.151</v>
      </c>
      <c r="F572" s="129"/>
      <c r="G572" s="129" t="str">
        <f>CONCATENATE(D572," - ",E572,", ")</f>
        <v>Misc. Aluminium scrap - 0.151, </v>
      </c>
      <c r="H572" s="142"/>
    </row>
    <row r="573" spans="1:8" ht="15" customHeight="1">
      <c r="A573" s="246"/>
      <c r="B573" s="247"/>
      <c r="C573" s="251"/>
      <c r="D573" s="46" t="s">
        <v>37</v>
      </c>
      <c r="E573" s="52">
        <v>0.037</v>
      </c>
      <c r="F573" s="129"/>
      <c r="G573" s="129" t="str">
        <f>CONCATENATE(D573," - ",E573,", ")</f>
        <v>Burnt Cu scrap - 0.037, </v>
      </c>
      <c r="H573" s="142"/>
    </row>
    <row r="574" spans="1:8" ht="15" customHeight="1">
      <c r="A574" s="246"/>
      <c r="B574" s="247"/>
      <c r="C574" s="251"/>
      <c r="D574" s="51" t="s">
        <v>76</v>
      </c>
      <c r="E574" s="52">
        <v>0.088</v>
      </c>
      <c r="F574" s="129"/>
      <c r="G574" s="129" t="str">
        <f>CONCATENATE(D574," - ",E574,", ")</f>
        <v> Iron scrap - 0.088, </v>
      </c>
      <c r="H574" s="142"/>
    </row>
    <row r="575" spans="1:8" ht="15" customHeight="1">
      <c r="A575" s="248"/>
      <c r="B575" s="249"/>
      <c r="C575" s="252"/>
      <c r="D575" s="46" t="s">
        <v>59</v>
      </c>
      <c r="E575" s="52">
        <v>0.59</v>
      </c>
      <c r="F575" s="129"/>
      <c r="G575" s="129" t="str">
        <f>CONCATENATE(D575," - ",E575,", ")</f>
        <v>Nuts &amp; Bolts scrap - 0.59, </v>
      </c>
      <c r="H575" s="142"/>
    </row>
    <row r="576" spans="1:8" ht="15" customHeight="1">
      <c r="A576" s="58"/>
      <c r="B576" s="61"/>
      <c r="C576" s="22"/>
      <c r="D576" s="61"/>
      <c r="E576" s="136"/>
      <c r="F576" s="129"/>
      <c r="G576" s="133"/>
      <c r="H576" s="142"/>
    </row>
    <row r="577" spans="1:8" ht="15" customHeight="1">
      <c r="A577" s="238"/>
      <c r="B577" s="239"/>
      <c r="C577" s="83"/>
      <c r="D577" s="83"/>
      <c r="E577" s="174">
        <f>SUM(E579:E579)</f>
        <v>0.021</v>
      </c>
      <c r="F577" s="129"/>
      <c r="G577" s="133"/>
      <c r="H577" s="142"/>
    </row>
    <row r="578" spans="1:18" ht="15" customHeight="1">
      <c r="A578" s="231" t="s">
        <v>5</v>
      </c>
      <c r="B578" s="231"/>
      <c r="C578" s="80" t="s">
        <v>17</v>
      </c>
      <c r="D578" s="81" t="s">
        <v>18</v>
      </c>
      <c r="E578" s="85" t="s">
        <v>7</v>
      </c>
      <c r="F578" s="129"/>
      <c r="G578" s="131" t="str">
        <f>CONCATENATE("Misc. Healthy parts/ Non Ferrous  Scrap, Lying at ",C579,". Quantity in MT - ")</f>
        <v>Misc. Healthy parts/ Non Ferrous  Scrap, Lying at OL Barnala. Quantity in MT - </v>
      </c>
      <c r="H578" s="178" t="str">
        <f ca="1">CONCATENATE(G578,G579,(INDIRECT(I579)),(INDIRECT(J579)),(INDIRECT(K579)),(INDIRECT(L579)),(INDIRECT(M579)),(INDIRECT(N579)),(INDIRECT(O579)),(INDIRECT(P579)),(INDIRECT(Q579)),(INDIRECT(R579)),".")</f>
        <v>Misc. Healthy parts/ Non Ferrous  Scrap, Lying at OL Barnala. Quantity in MT - Misc. copper scrap - 0.021, .</v>
      </c>
      <c r="I578" s="138" t="str">
        <f aca="true" ca="1" t="array" ref="I578">CELL("address",INDEX(G578:G600,MATCH(TRUE,ISBLANK(G578:G600),0)))</f>
        <v>$G$580</v>
      </c>
      <c r="J578" s="138">
        <f aca="true" t="array" ref="J578">MATCH(TRUE,ISBLANK(G578:G600),0)</f>
        <v>3</v>
      </c>
      <c r="K578" s="138">
        <f>J578-3</f>
        <v>0</v>
      </c>
      <c r="L578" s="138"/>
      <c r="M578" s="138"/>
      <c r="N578" s="138"/>
      <c r="O578" s="138"/>
      <c r="P578" s="138"/>
      <c r="Q578" s="138"/>
      <c r="R578" s="138"/>
    </row>
    <row r="579" spans="1:18" ht="15" customHeight="1">
      <c r="A579" s="231" t="s">
        <v>273</v>
      </c>
      <c r="B579" s="231"/>
      <c r="C579" s="184" t="s">
        <v>188</v>
      </c>
      <c r="D579" s="74" t="s">
        <v>113</v>
      </c>
      <c r="E579" s="86">
        <v>0.021</v>
      </c>
      <c r="F579" s="129"/>
      <c r="G579" s="129" t="str">
        <f>CONCATENATE(D579," - ",E579,", ")</f>
        <v>Misc. copper scrap - 0.021, </v>
      </c>
      <c r="H579" s="178"/>
      <c r="I579" s="138" t="str">
        <f ca="1">IF(J578&gt;=3,(MID(I578,2,1)&amp;MID(I578,4,4)-K578),CELL("address",Z579))</f>
        <v>G580</v>
      </c>
      <c r="J579" s="138" t="str">
        <f ca="1">IF(J578&gt;=4,(MID(I579,1,1)&amp;MID(I579,2,4)+1),CELL("address",AA579))</f>
        <v>$AA$579</v>
      </c>
      <c r="K579" s="138" t="str">
        <f ca="1">IF(J578&gt;=5,(MID(J579,1,1)&amp;MID(J579,2,4)+1),CELL("address",AB579))</f>
        <v>$AB$579</v>
      </c>
      <c r="L579" s="138" t="str">
        <f ca="1">IF(J578&gt;=6,(MID(K579,1,1)&amp;MID(K579,2,4)+1),CELL("address",AC579))</f>
        <v>$AC$579</v>
      </c>
      <c r="M579" s="138" t="str">
        <f ca="1">IF(J578&gt;=7,(MID(L579,1,1)&amp;MID(L579,2,4)+1),CELL("address",AD579))</f>
        <v>$AD$579</v>
      </c>
      <c r="N579" s="138" t="str">
        <f ca="1">IF(J578&gt;=8,(MID(M579,1,1)&amp;MID(M579,2,4)+1),CELL("address",AE579))</f>
        <v>$AE$579</v>
      </c>
      <c r="O579" s="138" t="str">
        <f ca="1">IF(J578&gt;=9,(MID(N579,1,1)&amp;MID(N579,2,4)+1),CELL("address",AF579))</f>
        <v>$AF$579</v>
      </c>
      <c r="P579" s="138" t="str">
        <f ca="1">IF(J578&gt;=10,(MID(O579,1,1)&amp;MID(O579,2,4)+1),CELL("address",AG579))</f>
        <v>$AG$579</v>
      </c>
      <c r="Q579" s="138" t="str">
        <f ca="1">IF(J578&gt;=11,(MID(P579,1,1)&amp;MID(P579,2,4)+1),CELL("address",AH579))</f>
        <v>$AH$579</v>
      </c>
      <c r="R579" s="138" t="str">
        <f ca="1">IF(J578&gt;=12,(MID(Q579,1,1)&amp;MID(Q579,2,4)+1),CELL("address",AI579))</f>
        <v>$AI$579</v>
      </c>
    </row>
    <row r="580" spans="1:8" ht="15" customHeight="1">
      <c r="A580" s="41"/>
      <c r="B580" s="1"/>
      <c r="C580" s="1"/>
      <c r="D580" s="1"/>
      <c r="E580" s="1"/>
      <c r="F580" s="129"/>
      <c r="H580" s="142"/>
    </row>
    <row r="581" spans="1:8" ht="15" customHeight="1">
      <c r="A581" s="238"/>
      <c r="B581" s="239"/>
      <c r="C581" s="83"/>
      <c r="D581" s="83"/>
      <c r="E581" s="174">
        <f>SUM(E583:E585)</f>
        <v>1.097</v>
      </c>
      <c r="F581" s="129"/>
      <c r="H581" s="142"/>
    </row>
    <row r="582" spans="1:18" ht="15" customHeight="1">
      <c r="A582" s="231" t="s">
        <v>5</v>
      </c>
      <c r="B582" s="231"/>
      <c r="C582" s="80" t="s">
        <v>17</v>
      </c>
      <c r="D582" s="81" t="s">
        <v>18</v>
      </c>
      <c r="E582" s="85" t="s">
        <v>7</v>
      </c>
      <c r="F582" s="129"/>
      <c r="G582" s="131" t="str">
        <f>CONCATENATE("Misc. Healthy parts/ Non Ferrous  Scrap, Lying at ",C583,". Quantity in MT - ")</f>
        <v>Misc. Healthy parts/ Non Ferrous  Scrap, Lying at TRY Moga. Quantity in MT - </v>
      </c>
      <c r="H582" s="178" t="str">
        <f ca="1">CONCATENATE(G582,G583,(INDIRECT(I583)),(INDIRECT(J583)),(INDIRECT(K583)),(INDIRECT(L583)),(INDIRECT(M583)),(INDIRECT(N583)),(INDIRECT(O583)),(INDIRECT(P583)),(INDIRECT(Q583)),(INDIRECT(R583)),".")</f>
        <v>Misc. Healthy parts/ Non Ferrous  Scrap, Lying at TRY Moga. Quantity in MT - Brass scrap - 0.911, Misc. Alumn. Scrap - 0.125, Iron scrap - 0.061, .</v>
      </c>
      <c r="I582" s="138" t="str">
        <f aca="true" ca="1" t="array" ref="I582">CELL("address",INDEX(G582:G604,MATCH(TRUE,ISBLANK(G582:G604),0)))</f>
        <v>$G$586</v>
      </c>
      <c r="J582" s="138">
        <f aca="true" t="array" ref="J582">MATCH(TRUE,ISBLANK(G582:G604),0)</f>
        <v>5</v>
      </c>
      <c r="K582" s="138">
        <f>J582-3</f>
        <v>2</v>
      </c>
      <c r="L582" s="138"/>
      <c r="M582" s="138"/>
      <c r="N582" s="138"/>
      <c r="O582" s="138"/>
      <c r="P582" s="138"/>
      <c r="Q582" s="138"/>
      <c r="R582" s="138"/>
    </row>
    <row r="583" spans="1:18" ht="15" customHeight="1">
      <c r="A583" s="231" t="s">
        <v>277</v>
      </c>
      <c r="B583" s="231"/>
      <c r="C583" s="237" t="s">
        <v>220</v>
      </c>
      <c r="D583" s="51" t="s">
        <v>23</v>
      </c>
      <c r="E583" s="175">
        <v>0.911</v>
      </c>
      <c r="F583" s="129"/>
      <c r="G583" s="129" t="str">
        <f>CONCATENATE(D583," - ",E583,", ")</f>
        <v>Brass scrap - 0.911, </v>
      </c>
      <c r="H583" s="178"/>
      <c r="I583" s="138" t="str">
        <f ca="1">IF(J582&gt;=3,(MID(I582,2,1)&amp;MID(I582,4,4)-K582),CELL("address",Z583))</f>
        <v>G584</v>
      </c>
      <c r="J583" s="138" t="str">
        <f ca="1">IF(J582&gt;=4,(MID(I583,1,1)&amp;MID(I583,2,4)+1),CELL("address",AA583))</f>
        <v>G585</v>
      </c>
      <c r="K583" s="138" t="str">
        <f ca="1">IF(J582&gt;=5,(MID(J583,1,1)&amp;MID(J583,2,4)+1),CELL("address",AB583))</f>
        <v>G586</v>
      </c>
      <c r="L583" s="138" t="str">
        <f ca="1">IF(J582&gt;=6,(MID(K583,1,1)&amp;MID(K583,2,4)+1),CELL("address",AC583))</f>
        <v>$AC$583</v>
      </c>
      <c r="M583" s="138" t="str">
        <f ca="1">IF(J582&gt;=7,(MID(L583,1,1)&amp;MID(L583,2,4)+1),CELL("address",AD583))</f>
        <v>$AD$583</v>
      </c>
      <c r="N583" s="138" t="str">
        <f ca="1">IF(J582&gt;=8,(MID(M583,1,1)&amp;MID(M583,2,4)+1),CELL("address",AE583))</f>
        <v>$AE$583</v>
      </c>
      <c r="O583" s="138" t="str">
        <f ca="1">IF(J582&gt;=9,(MID(N583,1,1)&amp;MID(N583,2,4)+1),CELL("address",AF583))</f>
        <v>$AF$583</v>
      </c>
      <c r="P583" s="138" t="str">
        <f ca="1">IF(J582&gt;=10,(MID(O583,1,1)&amp;MID(O583,2,4)+1),CELL("address",AG583))</f>
        <v>$AG$583</v>
      </c>
      <c r="Q583" s="138" t="str">
        <f ca="1">IF(J582&gt;=11,(MID(P583,1,1)&amp;MID(P583,2,4)+1),CELL("address",AH583))</f>
        <v>$AH$583</v>
      </c>
      <c r="R583" s="138" t="str">
        <f ca="1">IF(J582&gt;=12,(MID(Q583,1,1)&amp;MID(Q583,2,4)+1),CELL("address",AI583))</f>
        <v>$AI$583</v>
      </c>
    </row>
    <row r="584" spans="1:8" ht="15" customHeight="1">
      <c r="A584" s="231"/>
      <c r="B584" s="231"/>
      <c r="C584" s="237"/>
      <c r="D584" s="51" t="s">
        <v>31</v>
      </c>
      <c r="E584" s="85">
        <v>0.125</v>
      </c>
      <c r="F584" s="129"/>
      <c r="G584" s="176" t="str">
        <f>CONCATENATE(D584," - ",E584,", ")</f>
        <v>Misc. Alumn. Scrap - 0.125, </v>
      </c>
      <c r="H584" s="142"/>
    </row>
    <row r="585" spans="1:8" ht="15" customHeight="1">
      <c r="A585" s="231"/>
      <c r="B585" s="231"/>
      <c r="C585" s="237"/>
      <c r="D585" s="46" t="s">
        <v>27</v>
      </c>
      <c r="E585" s="85">
        <v>0.061</v>
      </c>
      <c r="F585" s="129"/>
      <c r="G585" s="176" t="str">
        <f>CONCATENATE(D585," - ",E585,", ")</f>
        <v>Iron scrap - 0.061, </v>
      </c>
      <c r="H585" s="142"/>
    </row>
    <row r="586" spans="1:8" ht="15" customHeight="1">
      <c r="A586" s="41"/>
      <c r="B586" s="1"/>
      <c r="C586" s="1"/>
      <c r="D586" s="1"/>
      <c r="E586" s="1"/>
      <c r="H586" s="140"/>
    </row>
    <row r="587" spans="1:8" ht="15" customHeight="1">
      <c r="A587" s="41"/>
      <c r="B587" s="1"/>
      <c r="C587" s="1"/>
      <c r="D587" s="1"/>
      <c r="E587" s="1"/>
      <c r="H587" s="140"/>
    </row>
    <row r="588" spans="1:8" ht="15" customHeight="1">
      <c r="A588" s="41"/>
      <c r="B588" s="1"/>
      <c r="C588" s="1"/>
      <c r="D588" s="1"/>
      <c r="E588" s="1"/>
      <c r="H588" s="140"/>
    </row>
    <row r="589" spans="1:8" ht="15" customHeight="1">
      <c r="A589" s="41"/>
      <c r="B589" s="1"/>
      <c r="C589" s="1"/>
      <c r="D589" s="1"/>
      <c r="E589" s="1"/>
      <c r="H589" s="140"/>
    </row>
    <row r="590" spans="1:8" ht="15" customHeight="1">
      <c r="A590" s="41"/>
      <c r="B590" s="1"/>
      <c r="C590" s="1"/>
      <c r="D590" s="1"/>
      <c r="E590" s="1"/>
      <c r="H590" s="140"/>
    </row>
    <row r="591" spans="1:8" ht="15" customHeight="1">
      <c r="A591" s="41"/>
      <c r="B591" s="1"/>
      <c r="C591" s="1"/>
      <c r="D591" s="1"/>
      <c r="E591" s="1"/>
      <c r="H591" s="140"/>
    </row>
    <row r="592" spans="1:8" ht="15" customHeight="1">
      <c r="A592" s="41"/>
      <c r="B592" s="1"/>
      <c r="C592" s="1"/>
      <c r="D592" s="1"/>
      <c r="E592" s="1"/>
      <c r="H592" s="140"/>
    </row>
    <row r="593" spans="1:8" ht="15" customHeight="1">
      <c r="A593" s="41"/>
      <c r="B593" s="1"/>
      <c r="C593" s="1"/>
      <c r="D593" s="1"/>
      <c r="E593" s="1"/>
      <c r="H593" s="140"/>
    </row>
    <row r="594" spans="1:8" ht="15" customHeight="1">
      <c r="A594" s="41"/>
      <c r="B594" s="1"/>
      <c r="C594" s="1"/>
      <c r="D594" s="1"/>
      <c r="E594" s="1"/>
      <c r="H594" s="140"/>
    </row>
    <row r="595" spans="1:8" ht="15" customHeight="1">
      <c r="A595" s="41"/>
      <c r="B595" s="1"/>
      <c r="C595" s="1"/>
      <c r="D595" s="1"/>
      <c r="E595" s="1"/>
      <c r="H595" s="140"/>
    </row>
    <row r="596" spans="1:8" ht="15" customHeight="1">
      <c r="A596" s="41"/>
      <c r="B596" s="1"/>
      <c r="C596" s="1"/>
      <c r="D596" s="1"/>
      <c r="E596" s="1"/>
      <c r="H596" s="140"/>
    </row>
    <row r="597" spans="1:8" ht="15" customHeight="1">
      <c r="A597" s="41"/>
      <c r="B597" s="1"/>
      <c r="C597" s="1"/>
      <c r="D597" s="1"/>
      <c r="E597" s="1"/>
      <c r="H597" s="140"/>
    </row>
    <row r="598" spans="1:8" ht="15" customHeight="1">
      <c r="A598" s="41"/>
      <c r="B598" s="1"/>
      <c r="C598" s="1"/>
      <c r="D598" s="1"/>
      <c r="E598" s="1"/>
      <c r="H598" s="140"/>
    </row>
    <row r="599" spans="1:8" ht="15" customHeight="1">
      <c r="A599" s="41"/>
      <c r="B599" s="1"/>
      <c r="C599" s="1"/>
      <c r="D599" s="1"/>
      <c r="E599" s="1"/>
      <c r="H599" s="140"/>
    </row>
    <row r="600" spans="1:8" ht="15" customHeight="1">
      <c r="A600" s="41"/>
      <c r="B600" s="1"/>
      <c r="C600" s="1"/>
      <c r="D600" s="1"/>
      <c r="E600" s="1"/>
      <c r="H600" s="140"/>
    </row>
    <row r="601" spans="1:8" ht="15" customHeight="1">
      <c r="A601" s="41"/>
      <c r="B601" s="1"/>
      <c r="C601" s="1"/>
      <c r="D601" s="1"/>
      <c r="E601" s="1"/>
      <c r="H601" s="140"/>
    </row>
    <row r="602" spans="1:8" ht="15" customHeight="1">
      <c r="A602" s="41"/>
      <c r="B602" s="1"/>
      <c r="C602" s="1"/>
      <c r="D602" s="1"/>
      <c r="E602" s="1"/>
      <c r="H602" s="140"/>
    </row>
    <row r="603" spans="1:8" ht="15" customHeight="1">
      <c r="A603" s="41"/>
      <c r="B603" s="1"/>
      <c r="C603" s="1"/>
      <c r="D603" s="1"/>
      <c r="E603" s="1"/>
      <c r="H603" s="140"/>
    </row>
    <row r="604" spans="1:8" ht="15" customHeight="1">
      <c r="A604" s="1"/>
      <c r="B604" s="1"/>
      <c r="C604" s="1"/>
      <c r="D604" s="1"/>
      <c r="E604" s="1"/>
      <c r="H604" s="140"/>
    </row>
    <row r="605" spans="1:8" ht="15" customHeight="1">
      <c r="A605" s="1"/>
      <c r="B605" s="1"/>
      <c r="C605" s="1"/>
      <c r="D605" s="1"/>
      <c r="E605" s="1"/>
      <c r="H605" s="140"/>
    </row>
    <row r="606" spans="1:8" ht="15" customHeight="1">
      <c r="A606" s="1"/>
      <c r="B606" s="1"/>
      <c r="C606" s="1"/>
      <c r="D606" s="1"/>
      <c r="E606" s="1"/>
      <c r="H606" s="140"/>
    </row>
    <row r="607" spans="1:8" ht="15" customHeight="1">
      <c r="A607" s="1"/>
      <c r="B607" s="1"/>
      <c r="C607" s="1"/>
      <c r="D607" s="1"/>
      <c r="E607" s="1"/>
      <c r="H607" s="140"/>
    </row>
    <row r="608" spans="1:8" ht="15" customHeight="1">
      <c r="A608" s="1"/>
      <c r="B608" s="1"/>
      <c r="C608" s="1"/>
      <c r="D608" s="1"/>
      <c r="E608" s="1"/>
      <c r="H608" s="140"/>
    </row>
    <row r="609" spans="1:8" ht="15" customHeight="1">
      <c r="A609" s="1"/>
      <c r="B609" s="1"/>
      <c r="C609" s="1"/>
      <c r="D609" s="1"/>
      <c r="E609" s="1"/>
      <c r="H609" s="140"/>
    </row>
    <row r="610" spans="1:8" ht="15" customHeight="1">
      <c r="A610" s="1"/>
      <c r="B610" s="1"/>
      <c r="C610" s="1"/>
      <c r="D610" s="1"/>
      <c r="E610" s="1"/>
      <c r="H610" s="140"/>
    </row>
    <row r="611" spans="1:8" ht="15" customHeight="1">
      <c r="A611" s="1"/>
      <c r="B611" s="1"/>
      <c r="C611" s="1"/>
      <c r="D611" s="1"/>
      <c r="E611" s="1"/>
      <c r="H611" s="140"/>
    </row>
    <row r="612" spans="1:8" ht="15" customHeight="1">
      <c r="A612" s="1"/>
      <c r="B612" s="1"/>
      <c r="C612" s="1"/>
      <c r="D612" s="1"/>
      <c r="E612" s="1"/>
      <c r="H612" s="140"/>
    </row>
    <row r="613" spans="1:8" ht="15" customHeight="1">
      <c r="A613" s="1"/>
      <c r="B613" s="1"/>
      <c r="C613" s="1"/>
      <c r="D613" s="1"/>
      <c r="E613" s="1"/>
      <c r="H613" s="140"/>
    </row>
    <row r="614" spans="1:8" ht="15" customHeight="1">
      <c r="A614" s="1"/>
      <c r="B614" s="1"/>
      <c r="C614" s="1"/>
      <c r="D614" s="1"/>
      <c r="E614" s="1"/>
      <c r="H614" s="140"/>
    </row>
    <row r="615" spans="1:8" ht="15" customHeight="1">
      <c r="A615" s="1"/>
      <c r="B615" s="1"/>
      <c r="C615" s="1"/>
      <c r="D615" s="1"/>
      <c r="E615" s="1"/>
      <c r="H615" s="140"/>
    </row>
    <row r="616" spans="1:8" ht="15" customHeight="1">
      <c r="A616" s="1"/>
      <c r="B616" s="1"/>
      <c r="C616" s="1"/>
      <c r="D616" s="1"/>
      <c r="E616" s="1"/>
      <c r="H616" s="140"/>
    </row>
    <row r="617" spans="1:8" ht="15" customHeight="1">
      <c r="A617" s="1"/>
      <c r="B617" s="1"/>
      <c r="C617" s="1"/>
      <c r="D617" s="1"/>
      <c r="E617" s="1"/>
      <c r="H617" s="140"/>
    </row>
    <row r="618" spans="1:8" ht="15" customHeight="1">
      <c r="A618" s="1"/>
      <c r="B618" s="1"/>
      <c r="C618" s="1"/>
      <c r="D618" s="1"/>
      <c r="E618" s="1"/>
      <c r="H618" s="140"/>
    </row>
    <row r="619" spans="1:8" ht="11.25" customHeight="1">
      <c r="A619" s="1"/>
      <c r="B619" s="1"/>
      <c r="C619" s="1"/>
      <c r="D619" s="1"/>
      <c r="E619" s="1"/>
      <c r="H619" s="140"/>
    </row>
    <row r="620" spans="1:8" ht="11.25" customHeight="1">
      <c r="A620" s="1"/>
      <c r="B620" s="1"/>
      <c r="C620" s="1"/>
      <c r="D620" s="1"/>
      <c r="E620" s="1"/>
      <c r="H620" s="140"/>
    </row>
    <row r="621" spans="1:8" ht="11.25" customHeight="1">
      <c r="A621" s="1"/>
      <c r="B621" s="1"/>
      <c r="C621" s="1"/>
      <c r="D621" s="1"/>
      <c r="E621" s="1"/>
      <c r="H621" s="140"/>
    </row>
    <row r="622" spans="1:8" ht="11.25" customHeight="1">
      <c r="A622" s="1"/>
      <c r="B622" s="1"/>
      <c r="C622" s="1"/>
      <c r="D622" s="1"/>
      <c r="E622" s="1"/>
      <c r="H622" s="140"/>
    </row>
    <row r="623" spans="1:8" ht="11.25" customHeight="1">
      <c r="A623" s="1"/>
      <c r="B623" s="1"/>
      <c r="C623" s="1"/>
      <c r="D623" s="1"/>
      <c r="E623" s="1"/>
      <c r="H623" s="140"/>
    </row>
    <row r="624" spans="1:8" ht="11.25" customHeight="1">
      <c r="A624" s="1"/>
      <c r="B624" s="1"/>
      <c r="C624" s="1"/>
      <c r="D624" s="1"/>
      <c r="E624" s="1"/>
      <c r="H624" s="140"/>
    </row>
    <row r="625" spans="1:8" ht="11.25" customHeight="1">
      <c r="A625" s="1"/>
      <c r="B625" s="1"/>
      <c r="C625" s="1"/>
      <c r="D625" s="1"/>
      <c r="E625" s="1"/>
      <c r="H625" s="140"/>
    </row>
    <row r="626" spans="1:8" ht="11.25" customHeight="1">
      <c r="A626" s="1"/>
      <c r="B626" s="1"/>
      <c r="C626" s="1"/>
      <c r="D626" s="1"/>
      <c r="E626" s="1"/>
      <c r="H626" s="140"/>
    </row>
    <row r="627" spans="1:8" ht="11.25" customHeight="1">
      <c r="A627" s="1"/>
      <c r="B627" s="1"/>
      <c r="C627" s="1"/>
      <c r="D627" s="1"/>
      <c r="E627" s="1"/>
      <c r="H627" s="140"/>
    </row>
    <row r="628" spans="1:8" ht="11.25" customHeight="1">
      <c r="A628" s="1"/>
      <c r="B628" s="1"/>
      <c r="C628" s="1"/>
      <c r="D628" s="1"/>
      <c r="E628" s="1"/>
      <c r="H628" s="140"/>
    </row>
    <row r="629" spans="1:8" ht="11.25" customHeight="1">
      <c r="A629" s="1"/>
      <c r="B629" s="1"/>
      <c r="C629" s="1"/>
      <c r="D629" s="1"/>
      <c r="E629" s="1"/>
      <c r="H629" s="140"/>
    </row>
    <row r="630" spans="1:8" ht="11.25" customHeight="1">
      <c r="A630" s="1"/>
      <c r="B630" s="1"/>
      <c r="C630" s="1"/>
      <c r="D630" s="1"/>
      <c r="E630" s="1"/>
      <c r="H630" s="140"/>
    </row>
    <row r="631" spans="1:8" ht="15" customHeight="1">
      <c r="A631" s="1"/>
      <c r="B631" s="1"/>
      <c r="C631" s="1"/>
      <c r="D631" s="1"/>
      <c r="E631" s="1"/>
      <c r="H631" s="140"/>
    </row>
    <row r="632" spans="1:8" ht="15" customHeight="1">
      <c r="A632" s="1"/>
      <c r="B632" s="1"/>
      <c r="C632" s="1"/>
      <c r="D632" s="1"/>
      <c r="E632" s="1"/>
      <c r="H632" s="140"/>
    </row>
    <row r="633" spans="1:8" ht="15" customHeight="1">
      <c r="A633" s="1"/>
      <c r="B633" s="1"/>
      <c r="C633" s="1"/>
      <c r="D633" s="1"/>
      <c r="E633" s="1"/>
      <c r="H633" s="140"/>
    </row>
    <row r="634" spans="1:8" ht="15" customHeight="1">
      <c r="A634" s="1"/>
      <c r="B634" s="1"/>
      <c r="C634" s="1"/>
      <c r="D634" s="1"/>
      <c r="E634" s="1"/>
      <c r="H634" s="140"/>
    </row>
    <row r="635" spans="1:8" ht="15" customHeight="1">
      <c r="A635" s="1"/>
      <c r="B635" s="1"/>
      <c r="C635" s="1"/>
      <c r="D635" s="1"/>
      <c r="E635" s="1"/>
      <c r="H635" s="140"/>
    </row>
    <row r="636" spans="1:8" ht="15" customHeight="1">
      <c r="A636" s="1"/>
      <c r="B636" s="1"/>
      <c r="C636" s="1"/>
      <c r="D636" s="1"/>
      <c r="E636" s="1"/>
      <c r="H636" s="140"/>
    </row>
    <row r="637" spans="1:8" ht="34.5" customHeight="1">
      <c r="A637" s="1"/>
      <c r="B637" s="1"/>
      <c r="C637" s="1"/>
      <c r="D637" s="1"/>
      <c r="E637" s="1"/>
      <c r="H637" s="140"/>
    </row>
    <row r="638" spans="1:8" ht="28.5" customHeight="1">
      <c r="A638" s="1"/>
      <c r="B638" s="1"/>
      <c r="C638" s="1"/>
      <c r="D638" s="1"/>
      <c r="E638" s="1"/>
      <c r="H638" s="140"/>
    </row>
    <row r="639" spans="1:8" ht="15" customHeight="1">
      <c r="A639" s="1"/>
      <c r="B639" s="1"/>
      <c r="C639" s="1"/>
      <c r="D639" s="1"/>
      <c r="E639" s="1"/>
      <c r="H639" s="140"/>
    </row>
    <row r="640" spans="1:8" ht="15" customHeight="1">
      <c r="A640" s="1"/>
      <c r="B640" s="1"/>
      <c r="C640" s="1"/>
      <c r="D640" s="1"/>
      <c r="E640" s="1"/>
      <c r="H640" s="140"/>
    </row>
    <row r="641" spans="1:8" ht="15" customHeight="1">
      <c r="A641" s="1"/>
      <c r="B641" s="1"/>
      <c r="C641" s="1"/>
      <c r="D641" s="1"/>
      <c r="E641" s="1"/>
      <c r="H641" s="140"/>
    </row>
    <row r="642" spans="1:8" ht="15" customHeight="1">
      <c r="A642" s="1"/>
      <c r="B642" s="1"/>
      <c r="C642" s="1"/>
      <c r="D642" s="1"/>
      <c r="E642" s="1"/>
      <c r="H642" s="140"/>
    </row>
    <row r="643" spans="1:8" ht="15" customHeight="1">
      <c r="A643" s="1"/>
      <c r="B643" s="1"/>
      <c r="C643" s="1"/>
      <c r="D643" s="1"/>
      <c r="E643" s="1"/>
      <c r="H643" s="140"/>
    </row>
    <row r="644" spans="1:8" ht="15" customHeight="1">
      <c r="A644" s="1"/>
      <c r="B644" s="1"/>
      <c r="C644" s="1"/>
      <c r="D644" s="1"/>
      <c r="E644" s="1"/>
      <c r="H644" s="140"/>
    </row>
    <row r="645" spans="1:8" ht="15" customHeight="1">
      <c r="A645" s="1"/>
      <c r="B645" s="1"/>
      <c r="C645" s="1"/>
      <c r="D645" s="1"/>
      <c r="E645" s="1"/>
      <c r="H645" s="140"/>
    </row>
    <row r="646" spans="1:8" ht="15" customHeight="1">
      <c r="A646" s="1"/>
      <c r="B646" s="1"/>
      <c r="C646" s="1"/>
      <c r="D646" s="1"/>
      <c r="E646" s="1"/>
      <c r="H646" s="140"/>
    </row>
    <row r="647" spans="1:8" ht="15" customHeight="1">
      <c r="A647" s="1"/>
      <c r="B647" s="1"/>
      <c r="C647" s="1"/>
      <c r="D647" s="1"/>
      <c r="E647" s="1"/>
      <c r="H647" s="140"/>
    </row>
    <row r="648" spans="1:8" ht="15" customHeight="1">
      <c r="A648" s="1"/>
      <c r="B648" s="1"/>
      <c r="C648" s="1"/>
      <c r="D648" s="1"/>
      <c r="E648" s="1"/>
      <c r="H648" s="140"/>
    </row>
    <row r="649" spans="1:8" ht="15" customHeight="1">
      <c r="A649" s="1"/>
      <c r="B649" s="1"/>
      <c r="C649" s="1"/>
      <c r="D649" s="1"/>
      <c r="E649" s="1"/>
      <c r="H649" s="140"/>
    </row>
    <row r="650" spans="1:8" ht="15" customHeight="1">
      <c r="A650" s="1"/>
      <c r="B650" s="1"/>
      <c r="C650" s="1"/>
      <c r="D650" s="1"/>
      <c r="E650" s="1"/>
      <c r="H650" s="140"/>
    </row>
    <row r="651" spans="1:8" ht="15" customHeight="1">
      <c r="A651" s="1"/>
      <c r="B651" s="1"/>
      <c r="C651" s="1"/>
      <c r="D651" s="1"/>
      <c r="E651" s="1"/>
      <c r="H651" s="140"/>
    </row>
    <row r="652" spans="1:8" ht="15" customHeight="1">
      <c r="A652" s="1"/>
      <c r="B652" s="1"/>
      <c r="C652" s="1"/>
      <c r="D652" s="1"/>
      <c r="E652" s="1"/>
      <c r="H652" s="140"/>
    </row>
    <row r="653" spans="1:8" ht="15" customHeight="1">
      <c r="A653" s="1"/>
      <c r="B653" s="1"/>
      <c r="C653" s="1"/>
      <c r="D653" s="1"/>
      <c r="E653" s="1"/>
      <c r="H653" s="140"/>
    </row>
    <row r="654" spans="1:5" ht="15" customHeight="1">
      <c r="A654" s="1"/>
      <c r="B654" s="1"/>
      <c r="C654" s="1"/>
      <c r="D654" s="1"/>
      <c r="E654" s="1"/>
    </row>
    <row r="655" spans="1:5" ht="15" customHeight="1">
      <c r="A655" s="1"/>
      <c r="B655" s="1"/>
      <c r="C655" s="1"/>
      <c r="D655" s="1"/>
      <c r="E655" s="1"/>
    </row>
    <row r="656" spans="1:5" ht="15" customHeight="1">
      <c r="A656" s="1"/>
      <c r="B656" s="1"/>
      <c r="C656" s="1"/>
      <c r="D656" s="1"/>
      <c r="E656" s="1"/>
    </row>
    <row r="657" spans="1:5" ht="15" customHeight="1">
      <c r="A657" s="1"/>
      <c r="B657" s="1"/>
      <c r="C657" s="1"/>
      <c r="D657" s="1"/>
      <c r="E657" s="1"/>
    </row>
    <row r="658" spans="1:5" ht="15" customHeight="1">
      <c r="A658" s="1"/>
      <c r="B658" s="1"/>
      <c r="C658" s="1"/>
      <c r="D658" s="1"/>
      <c r="E658" s="1"/>
    </row>
    <row r="659" spans="1:5" ht="15" customHeight="1">
      <c r="A659" s="1"/>
      <c r="B659" s="1"/>
      <c r="C659" s="1"/>
      <c r="D659" s="1"/>
      <c r="E659" s="1"/>
    </row>
    <row r="660" spans="1:5" ht="15" customHeight="1">
      <c r="A660" s="1"/>
      <c r="B660" s="1"/>
      <c r="C660" s="1"/>
      <c r="D660" s="1"/>
      <c r="E660" s="1"/>
    </row>
    <row r="661" spans="1:5" ht="15.75" customHeight="1">
      <c r="A661" s="1"/>
      <c r="B661" s="1"/>
      <c r="C661" s="1"/>
      <c r="D661" s="1"/>
      <c r="E661" s="1"/>
    </row>
    <row r="662" spans="1:5" ht="15.75" customHeight="1">
      <c r="A662" s="1"/>
      <c r="B662" s="1"/>
      <c r="C662" s="1"/>
      <c r="D662" s="1"/>
      <c r="E662" s="1"/>
    </row>
    <row r="663" spans="1:5" ht="15.75" customHeight="1">
      <c r="A663" s="1"/>
      <c r="B663" s="1"/>
      <c r="C663" s="1"/>
      <c r="D663" s="1"/>
      <c r="E663" s="1"/>
    </row>
    <row r="664" spans="1:5" ht="15" customHeight="1">
      <c r="A664" s="1"/>
      <c r="B664" s="1"/>
      <c r="C664" s="1"/>
      <c r="D664" s="1"/>
      <c r="E664" s="1"/>
    </row>
    <row r="665" spans="1:5" ht="15" customHeight="1">
      <c r="A665" s="1"/>
      <c r="B665" s="1"/>
      <c r="C665" s="1"/>
      <c r="D665" s="1"/>
      <c r="E665" s="1"/>
    </row>
    <row r="666" spans="1:5" ht="15" customHeight="1">
      <c r="A666" s="1"/>
      <c r="B666" s="1"/>
      <c r="C666" s="1"/>
      <c r="D666" s="1"/>
      <c r="E666" s="1"/>
    </row>
    <row r="667" spans="1:5" ht="15" customHeight="1">
      <c r="A667" s="1"/>
      <c r="B667" s="1"/>
      <c r="C667" s="1"/>
      <c r="D667" s="1"/>
      <c r="E667" s="1"/>
    </row>
    <row r="668" spans="1:5" ht="15" customHeight="1">
      <c r="A668" s="1"/>
      <c r="B668" s="1"/>
      <c r="C668" s="1"/>
      <c r="D668" s="1"/>
      <c r="E668" s="1"/>
    </row>
    <row r="669" spans="1:5" ht="15" customHeight="1">
      <c r="A669" s="1"/>
      <c r="B669" s="1"/>
      <c r="C669" s="1"/>
      <c r="D669" s="1"/>
      <c r="E669" s="1"/>
    </row>
    <row r="670" spans="1:5" ht="15" customHeight="1">
      <c r="A670" s="1"/>
      <c r="B670" s="1"/>
      <c r="C670" s="1"/>
      <c r="D670" s="1"/>
      <c r="E670" s="1"/>
    </row>
    <row r="671" spans="1:5" ht="15" customHeight="1">
      <c r="A671" s="1"/>
      <c r="B671" s="1"/>
      <c r="C671" s="1"/>
      <c r="D671" s="1"/>
      <c r="E671" s="1"/>
    </row>
    <row r="672" spans="1:5" ht="15" customHeight="1">
      <c r="A672" s="1"/>
      <c r="B672" s="1"/>
      <c r="C672" s="1"/>
      <c r="D672" s="1"/>
      <c r="E672" s="1"/>
    </row>
    <row r="673" spans="1:5" ht="15" customHeight="1">
      <c r="A673" s="1"/>
      <c r="B673" s="1"/>
      <c r="C673" s="1"/>
      <c r="D673" s="1"/>
      <c r="E673" s="1"/>
    </row>
    <row r="674" spans="1:5" ht="15" customHeight="1">
      <c r="A674" s="1"/>
      <c r="B674" s="1"/>
      <c r="C674" s="1"/>
      <c r="D674" s="1"/>
      <c r="E674" s="1"/>
    </row>
    <row r="675" spans="1:5" ht="15" customHeight="1">
      <c r="A675" s="1"/>
      <c r="B675" s="1"/>
      <c r="C675" s="1"/>
      <c r="D675" s="1"/>
      <c r="E675" s="1"/>
    </row>
    <row r="676" spans="1:5" ht="15" customHeight="1">
      <c r="A676" s="1"/>
      <c r="B676" s="1"/>
      <c r="C676" s="1"/>
      <c r="D676" s="1"/>
      <c r="E676" s="1"/>
    </row>
    <row r="677" spans="1:5" ht="15" customHeight="1">
      <c r="A677" s="1"/>
      <c r="B677" s="1"/>
      <c r="C677" s="1"/>
      <c r="D677" s="1"/>
      <c r="E677" s="1"/>
    </row>
    <row r="678" spans="1:5" ht="15" customHeight="1">
      <c r="A678" s="1"/>
      <c r="B678" s="1"/>
      <c r="C678" s="1"/>
      <c r="D678" s="1"/>
      <c r="E678" s="1"/>
    </row>
    <row r="679" spans="1:5" ht="15" customHeight="1">
      <c r="A679" s="1"/>
      <c r="B679" s="1"/>
      <c r="C679" s="1"/>
      <c r="D679" s="1"/>
      <c r="E679" s="1"/>
    </row>
    <row r="680" spans="1:5" ht="15" customHeight="1">
      <c r="A680" s="1"/>
      <c r="B680" s="1"/>
      <c r="C680" s="1"/>
      <c r="D680" s="1"/>
      <c r="E680" s="1"/>
    </row>
    <row r="681" spans="1:5" ht="15" customHeight="1">
      <c r="A681" s="1"/>
      <c r="B681" s="1"/>
      <c r="C681" s="1"/>
      <c r="D681" s="1"/>
      <c r="E681" s="1"/>
    </row>
    <row r="682" spans="1:5" ht="15" customHeight="1">
      <c r="A682" s="1"/>
      <c r="B682" s="1"/>
      <c r="C682" s="1"/>
      <c r="D682" s="1"/>
      <c r="E682" s="1"/>
    </row>
    <row r="683" spans="1:5" ht="15" customHeight="1">
      <c r="A683" s="1"/>
      <c r="B683" s="1"/>
      <c r="C683" s="1"/>
      <c r="D683" s="1"/>
      <c r="E683" s="1"/>
    </row>
    <row r="684" spans="1:5" ht="15" customHeight="1">
      <c r="A684" s="1"/>
      <c r="B684" s="1"/>
      <c r="C684" s="1"/>
      <c r="D684" s="1"/>
      <c r="E684" s="1"/>
    </row>
    <row r="685" spans="1:5" ht="15" customHeight="1">
      <c r="A685" s="1"/>
      <c r="B685" s="1"/>
      <c r="C685" s="1"/>
      <c r="D685" s="1"/>
      <c r="E685" s="1"/>
    </row>
    <row r="686" spans="1:5" ht="15" customHeight="1">
      <c r="A686" s="1"/>
      <c r="B686" s="1"/>
      <c r="C686" s="1"/>
      <c r="D686" s="1"/>
      <c r="E686" s="1"/>
    </row>
    <row r="687" spans="1:5" ht="15" customHeight="1">
      <c r="A687" s="1"/>
      <c r="B687" s="1"/>
      <c r="C687" s="1"/>
      <c r="D687" s="1"/>
      <c r="E687" s="1"/>
    </row>
    <row r="688" spans="1:5" ht="15" customHeight="1">
      <c r="A688" s="1"/>
      <c r="B688" s="1"/>
      <c r="C688" s="1"/>
      <c r="D688" s="1"/>
      <c r="E688" s="1"/>
    </row>
    <row r="689" spans="1:5" ht="13.5" customHeight="1">
      <c r="A689" s="1"/>
      <c r="B689" s="1"/>
      <c r="C689" s="1"/>
      <c r="D689" s="1"/>
      <c r="E689" s="1"/>
    </row>
    <row r="690" spans="1:5" ht="13.5" customHeight="1">
      <c r="A690" s="1"/>
      <c r="B690" s="1"/>
      <c r="C690" s="1"/>
      <c r="D690" s="1"/>
      <c r="E690" s="1"/>
    </row>
    <row r="691" spans="1:5" ht="15" customHeight="1">
      <c r="A691" s="1"/>
      <c r="B691" s="1"/>
      <c r="C691" s="1"/>
      <c r="D691" s="1"/>
      <c r="E691" s="1"/>
    </row>
    <row r="692" spans="1:5" ht="15" customHeight="1">
      <c r="A692" s="1"/>
      <c r="B692" s="1"/>
      <c r="C692" s="1"/>
      <c r="D692" s="1"/>
      <c r="E692" s="1"/>
    </row>
    <row r="693" spans="1:5" ht="15" customHeight="1">
      <c r="A693" s="1"/>
      <c r="B693" s="1"/>
      <c r="C693" s="1"/>
      <c r="D693" s="1"/>
      <c r="E693" s="1"/>
    </row>
    <row r="694" spans="1:5" ht="15" customHeight="1">
      <c r="A694" s="1"/>
      <c r="B694" s="1"/>
      <c r="C694" s="1"/>
      <c r="D694" s="1"/>
      <c r="E694" s="1"/>
    </row>
    <row r="695" spans="1:5" ht="15" customHeight="1">
      <c r="A695" s="1"/>
      <c r="B695" s="1"/>
      <c r="C695" s="1"/>
      <c r="D695" s="1"/>
      <c r="E695" s="1"/>
    </row>
    <row r="696" spans="1:5" ht="16.5" customHeight="1">
      <c r="A696" s="1"/>
      <c r="B696" s="1"/>
      <c r="C696" s="1"/>
      <c r="D696" s="1"/>
      <c r="E696" s="1"/>
    </row>
    <row r="697" spans="1:5" ht="16.5" customHeight="1">
      <c r="A697" s="1"/>
      <c r="B697" s="1"/>
      <c r="C697" s="1"/>
      <c r="D697" s="1"/>
      <c r="E697" s="1"/>
    </row>
    <row r="698" spans="1:5" ht="16.5" customHeight="1">
      <c r="A698" s="1"/>
      <c r="B698" s="1"/>
      <c r="C698" s="1"/>
      <c r="D698" s="1"/>
      <c r="E698" s="1"/>
    </row>
    <row r="699" spans="1:5" ht="16.5" customHeight="1">
      <c r="A699" s="1"/>
      <c r="B699" s="1"/>
      <c r="C699" s="1"/>
      <c r="D699" s="1"/>
      <c r="E699" s="1"/>
    </row>
    <row r="700" spans="1:5" ht="16.5" customHeight="1">
      <c r="A700" s="1"/>
      <c r="B700" s="1"/>
      <c r="C700" s="1"/>
      <c r="D700" s="1"/>
      <c r="E700" s="1"/>
    </row>
    <row r="701" spans="1:5" ht="16.5" customHeight="1">
      <c r="A701" s="1"/>
      <c r="B701" s="1"/>
      <c r="C701" s="1"/>
      <c r="D701" s="1"/>
      <c r="E701" s="1"/>
    </row>
    <row r="702" spans="1:5" ht="16.5" customHeight="1">
      <c r="A702" s="1"/>
      <c r="B702" s="1"/>
      <c r="C702" s="1"/>
      <c r="D702" s="1"/>
      <c r="E702" s="1"/>
    </row>
    <row r="703" spans="1:5" ht="15" customHeight="1">
      <c r="A703" s="1"/>
      <c r="B703" s="1"/>
      <c r="C703" s="1"/>
      <c r="D703" s="1"/>
      <c r="E703" s="1"/>
    </row>
    <row r="704" spans="1:5" ht="15" customHeight="1">
      <c r="A704" s="1"/>
      <c r="B704" s="1"/>
      <c r="C704" s="1"/>
      <c r="D704" s="1"/>
      <c r="E704" s="1"/>
    </row>
    <row r="705" spans="1:5" ht="15" customHeight="1">
      <c r="A705" s="1"/>
      <c r="B705" s="1"/>
      <c r="C705" s="1"/>
      <c r="D705" s="1"/>
      <c r="E705" s="1"/>
    </row>
    <row r="706" spans="1:5" ht="14.25" customHeight="1">
      <c r="A706" s="1"/>
      <c r="B706" s="1"/>
      <c r="C706" s="1"/>
      <c r="D706" s="1"/>
      <c r="E706" s="1"/>
    </row>
    <row r="707" spans="1:5" ht="14.25" customHeight="1">
      <c r="A707" s="1"/>
      <c r="B707" s="1"/>
      <c r="C707" s="1"/>
      <c r="D707" s="1"/>
      <c r="E707" s="1"/>
    </row>
    <row r="708" spans="1:5" ht="14.25" customHeight="1">
      <c r="A708" s="1"/>
      <c r="B708" s="1"/>
      <c r="C708" s="1"/>
      <c r="D708" s="1"/>
      <c r="E708" s="1"/>
    </row>
    <row r="709" spans="1:5" ht="14.25" customHeight="1">
      <c r="A709" s="1"/>
      <c r="B709" s="1"/>
      <c r="C709" s="1"/>
      <c r="D709" s="1"/>
      <c r="E709" s="1"/>
    </row>
    <row r="710" spans="1:5" ht="14.25" customHeight="1">
      <c r="A710" s="1"/>
      <c r="B710" s="1"/>
      <c r="C710" s="1"/>
      <c r="D710" s="1"/>
      <c r="E710" s="1"/>
    </row>
    <row r="711" spans="1:5" ht="14.25" customHeight="1">
      <c r="A711" s="1"/>
      <c r="B711" s="1"/>
      <c r="C711" s="1"/>
      <c r="D711" s="1"/>
      <c r="E711" s="1"/>
    </row>
    <row r="712" spans="1:5" ht="14.25" customHeight="1">
      <c r="A712" s="1"/>
      <c r="B712" s="1"/>
      <c r="C712" s="1"/>
      <c r="D712" s="1"/>
      <c r="E712" s="1"/>
    </row>
    <row r="713" spans="1:5" ht="14.25" customHeight="1">
      <c r="A713" s="1"/>
      <c r="B713" s="1"/>
      <c r="C713" s="1"/>
      <c r="D713" s="1"/>
      <c r="E713" s="1"/>
    </row>
    <row r="714" spans="1:5" ht="14.25" customHeight="1">
      <c r="A714" s="1"/>
      <c r="B714" s="1"/>
      <c r="C714" s="1"/>
      <c r="D714" s="1"/>
      <c r="E714" s="1"/>
    </row>
    <row r="715" spans="1:5" ht="14.25" customHeight="1">
      <c r="A715" s="1"/>
      <c r="B715" s="1"/>
      <c r="C715" s="1"/>
      <c r="D715" s="1"/>
      <c r="E715" s="1"/>
    </row>
    <row r="716" spans="1:5" ht="14.25" customHeight="1">
      <c r="A716" s="1"/>
      <c r="B716" s="1"/>
      <c r="C716" s="1"/>
      <c r="D716" s="1"/>
      <c r="E716" s="1"/>
    </row>
    <row r="717" spans="1:5" ht="14.25" customHeight="1">
      <c r="A717" s="1"/>
      <c r="B717" s="1"/>
      <c r="C717" s="1"/>
      <c r="D717" s="1"/>
      <c r="E717" s="1"/>
    </row>
    <row r="718" spans="1:5" ht="14.25" customHeight="1">
      <c r="A718" s="1"/>
      <c r="B718" s="1"/>
      <c r="C718" s="1"/>
      <c r="D718" s="1"/>
      <c r="E718" s="1"/>
    </row>
    <row r="719" spans="1:5" ht="14.25" customHeight="1">
      <c r="A719" s="1"/>
      <c r="B719" s="1"/>
      <c r="C719" s="1"/>
      <c r="D719" s="1"/>
      <c r="E719" s="1"/>
    </row>
    <row r="720" spans="1:5" ht="14.25" customHeight="1">
      <c r="A720" s="1"/>
      <c r="B720" s="1"/>
      <c r="C720" s="1"/>
      <c r="D720" s="1"/>
      <c r="E720" s="1"/>
    </row>
    <row r="721" spans="1:5" ht="14.25" customHeight="1">
      <c r="A721" s="1"/>
      <c r="B721" s="1"/>
      <c r="C721" s="1"/>
      <c r="D721" s="1"/>
      <c r="E721" s="1"/>
    </row>
    <row r="722" spans="1:5" ht="14.25" customHeight="1">
      <c r="A722" s="1"/>
      <c r="B722" s="1"/>
      <c r="C722" s="1"/>
      <c r="D722" s="1"/>
      <c r="E722" s="1"/>
    </row>
    <row r="723" spans="1:5" ht="14.25" customHeight="1">
      <c r="A723" s="1"/>
      <c r="B723" s="1"/>
      <c r="C723" s="1"/>
      <c r="D723" s="1"/>
      <c r="E723" s="1"/>
    </row>
    <row r="724" spans="1:5" ht="14.25" customHeight="1">
      <c r="A724" s="1"/>
      <c r="B724" s="1"/>
      <c r="C724" s="1"/>
      <c r="D724" s="1"/>
      <c r="E724" s="1"/>
    </row>
    <row r="725" spans="1:5" ht="14.25" customHeight="1">
      <c r="A725" s="1"/>
      <c r="B725" s="1"/>
      <c r="C725" s="1"/>
      <c r="D725" s="1"/>
      <c r="E725" s="1"/>
    </row>
    <row r="726" spans="1:5" ht="14.25" customHeight="1">
      <c r="A726" s="1"/>
      <c r="B726" s="1"/>
      <c r="C726" s="1"/>
      <c r="D726" s="1"/>
      <c r="E726" s="1"/>
    </row>
    <row r="727" spans="1:5" ht="14.25" customHeight="1">
      <c r="A727" s="1"/>
      <c r="B727" s="1"/>
      <c r="C727" s="1"/>
      <c r="D727" s="1"/>
      <c r="E727" s="1"/>
    </row>
    <row r="728" spans="1:5" ht="14.25" customHeight="1">
      <c r="A728" s="1"/>
      <c r="B728" s="1"/>
      <c r="C728" s="1"/>
      <c r="D728" s="1"/>
      <c r="E728" s="1"/>
    </row>
    <row r="729" spans="1:5" ht="14.25" customHeight="1">
      <c r="A729" s="1"/>
      <c r="B729" s="1"/>
      <c r="C729" s="1"/>
      <c r="D729" s="1"/>
      <c r="E729" s="1"/>
    </row>
    <row r="730" spans="1:5" ht="14.25" customHeight="1">
      <c r="A730" s="1"/>
      <c r="B730" s="1"/>
      <c r="C730" s="1"/>
      <c r="D730" s="1"/>
      <c r="E730" s="1"/>
    </row>
    <row r="731" spans="1:5" ht="14.25" customHeight="1">
      <c r="A731" s="1"/>
      <c r="B731" s="1"/>
      <c r="C731" s="1"/>
      <c r="D731" s="1"/>
      <c r="E731" s="1"/>
    </row>
    <row r="732" spans="1:5" ht="14.25" customHeight="1">
      <c r="A732" s="1"/>
      <c r="B732" s="1"/>
      <c r="C732" s="1"/>
      <c r="D732" s="1"/>
      <c r="E732" s="1"/>
    </row>
    <row r="733" spans="1:5" ht="14.25" customHeight="1">
      <c r="A733" s="1"/>
      <c r="B733" s="1"/>
      <c r="C733" s="1"/>
      <c r="D733" s="1"/>
      <c r="E733" s="1"/>
    </row>
    <row r="734" spans="1:5" ht="14.25" customHeight="1">
      <c r="A734" s="1"/>
      <c r="B734" s="1"/>
      <c r="C734" s="1"/>
      <c r="D734" s="1"/>
      <c r="E734" s="1"/>
    </row>
    <row r="735" spans="1:5" ht="14.25" customHeight="1">
      <c r="A735" s="1"/>
      <c r="B735" s="1"/>
      <c r="C735" s="1"/>
      <c r="D735" s="1"/>
      <c r="E735" s="1"/>
    </row>
    <row r="736" spans="1:5" ht="14.25" customHeight="1">
      <c r="A736" s="1"/>
      <c r="B736" s="1"/>
      <c r="C736" s="1"/>
      <c r="D736" s="1"/>
      <c r="E736" s="1"/>
    </row>
    <row r="737" spans="1:5" ht="14.25" customHeight="1">
      <c r="A737" s="1"/>
      <c r="B737" s="1"/>
      <c r="C737" s="1"/>
      <c r="D737" s="1"/>
      <c r="E737" s="1"/>
    </row>
    <row r="738" spans="1:5" ht="14.25" customHeight="1">
      <c r="A738" s="1"/>
      <c r="B738" s="1"/>
      <c r="C738" s="1"/>
      <c r="D738" s="1"/>
      <c r="E738" s="1"/>
    </row>
    <row r="739" spans="1:5" ht="14.25" customHeight="1">
      <c r="A739" s="1"/>
      <c r="B739" s="1"/>
      <c r="C739" s="1"/>
      <c r="D739" s="1"/>
      <c r="E739" s="1"/>
    </row>
    <row r="740" spans="1:5" ht="14.25" customHeight="1">
      <c r="A740" s="1"/>
      <c r="B740" s="1"/>
      <c r="C740" s="1"/>
      <c r="D740" s="1"/>
      <c r="E740" s="1"/>
    </row>
    <row r="741" spans="1:5" ht="14.25" customHeight="1">
      <c r="A741" s="1"/>
      <c r="B741" s="1"/>
      <c r="C741" s="1"/>
      <c r="D741" s="1"/>
      <c r="E741" s="1"/>
    </row>
    <row r="742" spans="1:5" ht="14.25" customHeight="1">
      <c r="A742" s="1"/>
      <c r="B742" s="1"/>
      <c r="C742" s="1"/>
      <c r="D742" s="1"/>
      <c r="E742" s="1"/>
    </row>
    <row r="743" spans="1:5" ht="14.25" customHeight="1">
      <c r="A743" s="1"/>
      <c r="B743" s="1"/>
      <c r="C743" s="1"/>
      <c r="D743" s="1"/>
      <c r="E743" s="1"/>
    </row>
    <row r="744" spans="1:5" ht="14.25" customHeight="1">
      <c r="A744" s="1"/>
      <c r="B744" s="1"/>
      <c r="C744" s="1"/>
      <c r="D744" s="1"/>
      <c r="E744" s="1"/>
    </row>
    <row r="745" spans="1:5" ht="14.25" customHeight="1">
      <c r="A745" s="1"/>
      <c r="B745" s="1"/>
      <c r="C745" s="1"/>
      <c r="D745" s="1"/>
      <c r="E745" s="1"/>
    </row>
    <row r="746" spans="1:5" ht="14.25" customHeight="1">
      <c r="A746" s="1"/>
      <c r="B746" s="1"/>
      <c r="C746" s="1"/>
      <c r="D746" s="1"/>
      <c r="E746" s="1"/>
    </row>
    <row r="747" spans="1:5" ht="14.25" customHeight="1">
      <c r="A747" s="1"/>
      <c r="B747" s="1"/>
      <c r="C747" s="1"/>
      <c r="D747" s="1"/>
      <c r="E747" s="1"/>
    </row>
    <row r="748" spans="1:5" ht="14.25" customHeight="1">
      <c r="A748" s="1"/>
      <c r="B748" s="1"/>
      <c r="C748" s="1"/>
      <c r="D748" s="1"/>
      <c r="E748" s="1"/>
    </row>
    <row r="749" spans="1:5" ht="14.25" customHeight="1">
      <c r="A749" s="1"/>
      <c r="B749" s="1"/>
      <c r="C749" s="1"/>
      <c r="D749" s="1"/>
      <c r="E749" s="1"/>
    </row>
    <row r="750" spans="1:5" ht="14.25" customHeight="1">
      <c r="A750" s="1"/>
      <c r="B750" s="1"/>
      <c r="C750" s="1"/>
      <c r="D750" s="1"/>
      <c r="E750" s="1"/>
    </row>
    <row r="751" spans="1:5" ht="14.25" customHeight="1">
      <c r="A751" s="1"/>
      <c r="B751" s="1"/>
      <c r="C751" s="1"/>
      <c r="D751" s="1"/>
      <c r="E751" s="1"/>
    </row>
    <row r="752" spans="1:5" ht="14.25" customHeight="1">
      <c r="A752" s="1"/>
      <c r="B752" s="1"/>
      <c r="C752" s="1"/>
      <c r="D752" s="1"/>
      <c r="E752" s="1"/>
    </row>
    <row r="753" spans="1:5" ht="14.25" customHeight="1">
      <c r="A753" s="1"/>
      <c r="B753" s="1"/>
      <c r="C753" s="1"/>
      <c r="D753" s="1"/>
      <c r="E753" s="1"/>
    </row>
    <row r="754" spans="1:5" ht="14.25" customHeight="1">
      <c r="A754" s="1"/>
      <c r="B754" s="1"/>
      <c r="C754" s="1"/>
      <c r="D754" s="1"/>
      <c r="E754" s="1"/>
    </row>
    <row r="755" spans="1:5" ht="14.25" customHeight="1">
      <c r="A755" s="1"/>
      <c r="B755" s="1"/>
      <c r="C755" s="1"/>
      <c r="D755" s="1"/>
      <c r="E755" s="1"/>
    </row>
    <row r="756" spans="1:5" ht="14.25" customHeight="1">
      <c r="A756" s="1"/>
      <c r="B756" s="1"/>
      <c r="C756" s="1"/>
      <c r="D756" s="1"/>
      <c r="E756" s="1"/>
    </row>
    <row r="757" spans="1:5" ht="14.25" customHeight="1">
      <c r="A757" s="1"/>
      <c r="B757" s="1"/>
      <c r="C757" s="1"/>
      <c r="D757" s="1"/>
      <c r="E757" s="1"/>
    </row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9.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</sheetData>
  <sheetProtection/>
  <mergeCells count="391">
    <mergeCell ref="H203:H204"/>
    <mergeCell ref="H196:H197"/>
    <mergeCell ref="H191:H192"/>
    <mergeCell ref="B192:C193"/>
    <mergeCell ref="A123:E123"/>
    <mergeCell ref="B197:C200"/>
    <mergeCell ref="H184:H185"/>
    <mergeCell ref="A18:B18"/>
    <mergeCell ref="A32:B32"/>
    <mergeCell ref="A29:B29"/>
    <mergeCell ref="C30:D30"/>
    <mergeCell ref="C33:D33"/>
    <mergeCell ref="A57:E57"/>
    <mergeCell ref="A31:B31"/>
    <mergeCell ref="C31:D31"/>
    <mergeCell ref="A118:C118"/>
    <mergeCell ref="H271:H272"/>
    <mergeCell ref="H217:H218"/>
    <mergeCell ref="H257:H258"/>
    <mergeCell ref="H264:H265"/>
    <mergeCell ref="H237:H238"/>
    <mergeCell ref="B251:C254"/>
    <mergeCell ref="H230:H231"/>
    <mergeCell ref="B258:C261"/>
    <mergeCell ref="B237:C237"/>
    <mergeCell ref="H211:H212"/>
    <mergeCell ref="H223:H224"/>
    <mergeCell ref="A59:C59"/>
    <mergeCell ref="A62:C62"/>
    <mergeCell ref="B202:C202"/>
    <mergeCell ref="A106:C106"/>
    <mergeCell ref="A182:C182"/>
    <mergeCell ref="A139:C139"/>
    <mergeCell ref="A94:C94"/>
    <mergeCell ref="A192:A193"/>
    <mergeCell ref="H308:H309"/>
    <mergeCell ref="H293:H294"/>
    <mergeCell ref="B265:C268"/>
    <mergeCell ref="H243:H244"/>
    <mergeCell ref="H250:H251"/>
    <mergeCell ref="H287:H288"/>
    <mergeCell ref="B288:C290"/>
    <mergeCell ref="H300:H301"/>
    <mergeCell ref="H280:H281"/>
    <mergeCell ref="B293:C293"/>
    <mergeCell ref="H327:H328"/>
    <mergeCell ref="H318:H319"/>
    <mergeCell ref="H322:H323"/>
    <mergeCell ref="A309:B310"/>
    <mergeCell ref="A281:A284"/>
    <mergeCell ref="A288:A290"/>
    <mergeCell ref="C323:C324"/>
    <mergeCell ref="A319:B319"/>
    <mergeCell ref="A328:B328"/>
    <mergeCell ref="H313:H314"/>
    <mergeCell ref="H331:H332"/>
    <mergeCell ref="A314:B315"/>
    <mergeCell ref="A323:B324"/>
    <mergeCell ref="A322:B322"/>
    <mergeCell ref="A318:B318"/>
    <mergeCell ref="H474:H475"/>
    <mergeCell ref="H434:H435"/>
    <mergeCell ref="H348:H349"/>
    <mergeCell ref="H339:H340"/>
    <mergeCell ref="B403:C403"/>
    <mergeCell ref="T431:W431"/>
    <mergeCell ref="H356:H357"/>
    <mergeCell ref="T341:X342"/>
    <mergeCell ref="H463:H464"/>
    <mergeCell ref="H372:H373"/>
    <mergeCell ref="H456:H457"/>
    <mergeCell ref="H443:H444"/>
    <mergeCell ref="H377:H378"/>
    <mergeCell ref="H364:H365"/>
    <mergeCell ref="S368:W368"/>
    <mergeCell ref="H344:H345"/>
    <mergeCell ref="H427:H428"/>
    <mergeCell ref="H470:H471"/>
    <mergeCell ref="A556:B556"/>
    <mergeCell ref="A557:B557"/>
    <mergeCell ref="A550:B550"/>
    <mergeCell ref="A392:E392"/>
    <mergeCell ref="C365:C369"/>
    <mergeCell ref="A377:B377"/>
    <mergeCell ref="C378:C379"/>
    <mergeCell ref="A554:B554"/>
    <mergeCell ref="A224:A227"/>
    <mergeCell ref="A388:B388"/>
    <mergeCell ref="B408:C408"/>
    <mergeCell ref="B409:C409"/>
    <mergeCell ref="C386:D386"/>
    <mergeCell ref="A454:B454"/>
    <mergeCell ref="A496:B496"/>
    <mergeCell ref="B405:C405"/>
    <mergeCell ref="B230:C230"/>
    <mergeCell ref="C558:C560"/>
    <mergeCell ref="A558:B560"/>
    <mergeCell ref="A455:B455"/>
    <mergeCell ref="C503:C506"/>
    <mergeCell ref="B244:C247"/>
    <mergeCell ref="B399:C399"/>
    <mergeCell ref="A444:B448"/>
    <mergeCell ref="A540:B540"/>
    <mergeCell ref="A543:B543"/>
    <mergeCell ref="A544:B544"/>
    <mergeCell ref="C464:C467"/>
    <mergeCell ref="A265:A268"/>
    <mergeCell ref="B250:C250"/>
    <mergeCell ref="B264:C264"/>
    <mergeCell ref="B257:C257"/>
    <mergeCell ref="B280:C280"/>
    <mergeCell ref="B272:C277"/>
    <mergeCell ref="A479:B481"/>
    <mergeCell ref="A501:B501"/>
    <mergeCell ref="A478:B478"/>
    <mergeCell ref="A342:B342"/>
    <mergeCell ref="A364:B364"/>
    <mergeCell ref="A464:B467"/>
    <mergeCell ref="A471:B471"/>
    <mergeCell ref="A349:B353"/>
    <mergeCell ref="B400:C400"/>
    <mergeCell ref="B406:C406"/>
    <mergeCell ref="C515:C516"/>
    <mergeCell ref="A513:B513"/>
    <mergeCell ref="A492:B492"/>
    <mergeCell ref="A493:B494"/>
    <mergeCell ref="A519:B519"/>
    <mergeCell ref="A483:B483"/>
    <mergeCell ref="A500:B500"/>
    <mergeCell ref="A510:B511"/>
    <mergeCell ref="A495:B495"/>
    <mergeCell ref="A508:B508"/>
    <mergeCell ref="C32:D32"/>
    <mergeCell ref="A33:B33"/>
    <mergeCell ref="A383:B383"/>
    <mergeCell ref="A313:B313"/>
    <mergeCell ref="A356:B356"/>
    <mergeCell ref="A378:B379"/>
    <mergeCell ref="B286:C286"/>
    <mergeCell ref="B218:C220"/>
    <mergeCell ref="A98:C98"/>
    <mergeCell ref="B196:C196"/>
    <mergeCell ref="B287:C287"/>
    <mergeCell ref="C385:D385"/>
    <mergeCell ref="A385:B385"/>
    <mergeCell ref="C444:C448"/>
    <mergeCell ref="A425:E425"/>
    <mergeCell ref="A415:E415"/>
    <mergeCell ref="B402:C402"/>
    <mergeCell ref="A427:B427"/>
    <mergeCell ref="A475:B475"/>
    <mergeCell ref="C485:C489"/>
    <mergeCell ref="A474:B474"/>
    <mergeCell ref="A365:B369"/>
    <mergeCell ref="A432:B432"/>
    <mergeCell ref="A451:B451"/>
    <mergeCell ref="A381:E381"/>
    <mergeCell ref="C479:C481"/>
    <mergeCell ref="A473:B473"/>
    <mergeCell ref="A482:B482"/>
    <mergeCell ref="A502:B502"/>
    <mergeCell ref="C493:C494"/>
    <mergeCell ref="A484:B484"/>
    <mergeCell ref="C428:C431"/>
    <mergeCell ref="C452:C453"/>
    <mergeCell ref="A457:B460"/>
    <mergeCell ref="C498:C499"/>
    <mergeCell ref="A435:B440"/>
    <mergeCell ref="A456:B456"/>
    <mergeCell ref="A463:B463"/>
    <mergeCell ref="B393:C393"/>
    <mergeCell ref="A9:B9"/>
    <mergeCell ref="A452:B453"/>
    <mergeCell ref="A470:B470"/>
    <mergeCell ref="A514:B514"/>
    <mergeCell ref="A509:B509"/>
    <mergeCell ref="C510:C511"/>
    <mergeCell ref="A503:B506"/>
    <mergeCell ref="A469:B469"/>
    <mergeCell ref="A498:B499"/>
    <mergeCell ref="A411:E411"/>
    <mergeCell ref="A443:B443"/>
    <mergeCell ref="A422:E422"/>
    <mergeCell ref="A462:B462"/>
    <mergeCell ref="C457:C460"/>
    <mergeCell ref="A442:B442"/>
    <mergeCell ref="A1:E1"/>
    <mergeCell ref="A2:C2"/>
    <mergeCell ref="A4:E4"/>
    <mergeCell ref="A3:C3"/>
    <mergeCell ref="A5:D5"/>
    <mergeCell ref="C6:D6"/>
    <mergeCell ref="A10:B10"/>
    <mergeCell ref="D20:E20"/>
    <mergeCell ref="A11:B11"/>
    <mergeCell ref="C384:D384"/>
    <mergeCell ref="A390:E390"/>
    <mergeCell ref="C357:C361"/>
    <mergeCell ref="A35:B35"/>
    <mergeCell ref="A21:D21"/>
    <mergeCell ref="A244:A247"/>
    <mergeCell ref="C332:C336"/>
    <mergeCell ref="A6:B6"/>
    <mergeCell ref="A7:B7"/>
    <mergeCell ref="A8:B8"/>
    <mergeCell ref="C9:D9"/>
    <mergeCell ref="C8:D8"/>
    <mergeCell ref="C7:D7"/>
    <mergeCell ref="C24:D24"/>
    <mergeCell ref="C11:D11"/>
    <mergeCell ref="C10:D10"/>
    <mergeCell ref="C14:D14"/>
    <mergeCell ref="C12:D12"/>
    <mergeCell ref="A19:B19"/>
    <mergeCell ref="A12:B12"/>
    <mergeCell ref="C13:D13"/>
    <mergeCell ref="A13:B13"/>
    <mergeCell ref="C15:D15"/>
    <mergeCell ref="C19:D19"/>
    <mergeCell ref="A14:B14"/>
    <mergeCell ref="A16:B16"/>
    <mergeCell ref="C16:D16"/>
    <mergeCell ref="A22:B22"/>
    <mergeCell ref="C22:D22"/>
    <mergeCell ref="A15:B15"/>
    <mergeCell ref="C17:D17"/>
    <mergeCell ref="A17:B17"/>
    <mergeCell ref="B204:C208"/>
    <mergeCell ref="B185:C188"/>
    <mergeCell ref="B194:C194"/>
    <mergeCell ref="A24:B24"/>
    <mergeCell ref="C28:D28"/>
    <mergeCell ref="C23:D23"/>
    <mergeCell ref="C25:D25"/>
    <mergeCell ref="C34:D34"/>
    <mergeCell ref="B184:C184"/>
    <mergeCell ref="A258:A261"/>
    <mergeCell ref="B224:C227"/>
    <mergeCell ref="B223:C223"/>
    <mergeCell ref="B238:C240"/>
    <mergeCell ref="A40:E40"/>
    <mergeCell ref="A42:C42"/>
    <mergeCell ref="B191:C191"/>
    <mergeCell ref="A137:E137"/>
    <mergeCell ref="A34:B34"/>
    <mergeCell ref="A112:C112"/>
    <mergeCell ref="A30:B30"/>
    <mergeCell ref="A28:B28"/>
    <mergeCell ref="A25:B25"/>
    <mergeCell ref="A92:E92"/>
    <mergeCell ref="A38:E38"/>
    <mergeCell ref="A37:E37"/>
    <mergeCell ref="C29:D29"/>
    <mergeCell ref="C35:D35"/>
    <mergeCell ref="A338:B338"/>
    <mergeCell ref="A308:B308"/>
    <mergeCell ref="C18:D18"/>
    <mergeCell ref="B203:C203"/>
    <mergeCell ref="A23:B23"/>
    <mergeCell ref="A185:A188"/>
    <mergeCell ref="B190:C190"/>
    <mergeCell ref="A204:A208"/>
    <mergeCell ref="A104:E104"/>
    <mergeCell ref="A36:E36"/>
    <mergeCell ref="A251:A254"/>
    <mergeCell ref="A218:A220"/>
    <mergeCell ref="A340:B341"/>
    <mergeCell ref="C340:C341"/>
    <mergeCell ref="A331:B331"/>
    <mergeCell ref="A327:B327"/>
    <mergeCell ref="B271:C271"/>
    <mergeCell ref="C314:C315"/>
    <mergeCell ref="A272:A277"/>
    <mergeCell ref="A339:B339"/>
    <mergeCell ref="C373:C374"/>
    <mergeCell ref="A343:B343"/>
    <mergeCell ref="A332:B336"/>
    <mergeCell ref="A197:A200"/>
    <mergeCell ref="A238:A240"/>
    <mergeCell ref="B243:C243"/>
    <mergeCell ref="A301:A304"/>
    <mergeCell ref="B212:C214"/>
    <mergeCell ref="B211:C211"/>
    <mergeCell ref="A212:A214"/>
    <mergeCell ref="A384:B384"/>
    <mergeCell ref="A386:B386"/>
    <mergeCell ref="A357:B361"/>
    <mergeCell ref="A345:B345"/>
    <mergeCell ref="A294:A297"/>
    <mergeCell ref="B301:C304"/>
    <mergeCell ref="C309:C310"/>
    <mergeCell ref="C383:D383"/>
    <mergeCell ref="A348:B348"/>
    <mergeCell ref="C349:C353"/>
    <mergeCell ref="C435:C440"/>
    <mergeCell ref="A423:E423"/>
    <mergeCell ref="A433:B433"/>
    <mergeCell ref="A450:B450"/>
    <mergeCell ref="C382:D382"/>
    <mergeCell ref="B396:C396"/>
    <mergeCell ref="B397:C397"/>
    <mergeCell ref="B394:C394"/>
    <mergeCell ref="A413:E413"/>
    <mergeCell ref="A434:B434"/>
    <mergeCell ref="H497:H498"/>
    <mergeCell ref="H509:H510"/>
    <mergeCell ref="C533:C534"/>
    <mergeCell ref="A533:B534"/>
    <mergeCell ref="H492:H493"/>
    <mergeCell ref="A344:B344"/>
    <mergeCell ref="H451:H452"/>
    <mergeCell ref="H484:H485"/>
    <mergeCell ref="H478:H479"/>
    <mergeCell ref="H502:H503"/>
    <mergeCell ref="H514:H515"/>
    <mergeCell ref="H519:H520"/>
    <mergeCell ref="A538:B538"/>
    <mergeCell ref="A528:B529"/>
    <mergeCell ref="C528:C529"/>
    <mergeCell ref="A518:B518"/>
    <mergeCell ref="H527:H528"/>
    <mergeCell ref="A527:B527"/>
    <mergeCell ref="A526:B526"/>
    <mergeCell ref="A515:B516"/>
    <mergeCell ref="A551:B551"/>
    <mergeCell ref="A541:B541"/>
    <mergeCell ref="A542:B542"/>
    <mergeCell ref="A545:B545"/>
    <mergeCell ref="A547:B547"/>
    <mergeCell ref="A548:B548"/>
    <mergeCell ref="A546:B546"/>
    <mergeCell ref="H570:H571"/>
    <mergeCell ref="A569:B569"/>
    <mergeCell ref="A570:B570"/>
    <mergeCell ref="F552:G552"/>
    <mergeCell ref="A537:B537"/>
    <mergeCell ref="A536:B536"/>
    <mergeCell ref="A553:B553"/>
    <mergeCell ref="A552:B552"/>
    <mergeCell ref="A549:B549"/>
    <mergeCell ref="A539:B539"/>
    <mergeCell ref="A231:A234"/>
    <mergeCell ref="A169:E169"/>
    <mergeCell ref="A171:C171"/>
    <mergeCell ref="B217:C217"/>
    <mergeCell ref="A387:B387"/>
    <mergeCell ref="C520:C524"/>
    <mergeCell ref="A520:B524"/>
    <mergeCell ref="A428:B431"/>
    <mergeCell ref="A497:B497"/>
    <mergeCell ref="A485:B489"/>
    <mergeCell ref="A382:B382"/>
    <mergeCell ref="C387:D387"/>
    <mergeCell ref="A532:B532"/>
    <mergeCell ref="A373:B374"/>
    <mergeCell ref="A161:C161"/>
    <mergeCell ref="A129:C129"/>
    <mergeCell ref="B281:C284"/>
    <mergeCell ref="B300:C300"/>
    <mergeCell ref="B231:C234"/>
    <mergeCell ref="A144:C144"/>
    <mergeCell ref="A531:B531"/>
    <mergeCell ref="A154:E154"/>
    <mergeCell ref="A156:C156"/>
    <mergeCell ref="A125:C125"/>
    <mergeCell ref="A571:B575"/>
    <mergeCell ref="C571:C575"/>
    <mergeCell ref="A562:B562"/>
    <mergeCell ref="A563:B563"/>
    <mergeCell ref="A372:B372"/>
    <mergeCell ref="B195:C195"/>
    <mergeCell ref="A564:B567"/>
    <mergeCell ref="A582:B582"/>
    <mergeCell ref="A581:B581"/>
    <mergeCell ref="B294:C297"/>
    <mergeCell ref="A87:C87"/>
    <mergeCell ref="A71:E71"/>
    <mergeCell ref="A73:C73"/>
    <mergeCell ref="A78:C78"/>
    <mergeCell ref="A561:B561"/>
    <mergeCell ref="C564:C567"/>
    <mergeCell ref="C26:D26"/>
    <mergeCell ref="C27:D27"/>
    <mergeCell ref="A26:B26"/>
    <mergeCell ref="A27:B27"/>
    <mergeCell ref="A175:C175"/>
    <mergeCell ref="A583:B585"/>
    <mergeCell ref="C583:C585"/>
    <mergeCell ref="A577:B577"/>
    <mergeCell ref="A578:B578"/>
    <mergeCell ref="A579:B579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5" r:id="rId1"/>
  <headerFooter alignWithMargins="0">
    <oddHeader>&amp;R&amp;P</oddHeader>
    <oddFooter>&amp;L&amp;14A.O. / Disposal&amp;C&amp;14Sr.XEN. / Disposal&amp;R&amp;14COS and D ( South), PTA</oddFooter>
  </headerFooter>
  <rowBreaks count="3" manualBreakCount="3">
    <brk id="61" max="4" man="1"/>
    <brk id="121" max="4" man="1"/>
    <brk id="18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3.140625" style="0" customWidth="1"/>
    <col min="2" max="2" width="69.8515625" style="30" customWidth="1"/>
    <col min="3" max="3" width="24.8515625" style="0" customWidth="1"/>
    <col min="4" max="4" width="18.140625" style="0" hidden="1" customWidth="1"/>
    <col min="5" max="5" width="23.140625" style="0" hidden="1" customWidth="1"/>
    <col min="6" max="7" width="9.140625" style="0" hidden="1" customWidth="1"/>
    <col min="8" max="8" width="119.7109375" style="0" customWidth="1"/>
  </cols>
  <sheetData>
    <row r="1" spans="1:5" ht="18">
      <c r="A1" s="318" t="s">
        <v>85</v>
      </c>
      <c r="B1" s="318"/>
      <c r="C1" s="318"/>
      <c r="D1" s="29"/>
      <c r="E1" s="29"/>
    </row>
    <row r="2" spans="1:2" ht="12.75">
      <c r="A2" s="35" t="str">
        <f>scrap!A2</f>
        <v>E - Auction Notice No. -</v>
      </c>
      <c r="B2" s="34" t="str">
        <f>scrap!D2</f>
        <v>EA-55 /PTA-2023-24</v>
      </c>
    </row>
    <row r="3" spans="1:2" ht="12.75">
      <c r="A3" s="35" t="str">
        <f>scrap!A3</f>
        <v>Date of Auction -</v>
      </c>
      <c r="B3" s="34" t="str">
        <f>scrap!D3</f>
        <v>5.12.2023</v>
      </c>
    </row>
    <row r="4" spans="1:2" ht="12.75">
      <c r="A4" s="35"/>
      <c r="B4" s="34"/>
    </row>
    <row r="5" spans="1:3" s="31" customFormat="1" ht="20.25" customHeight="1">
      <c r="A5" s="101" t="s">
        <v>5</v>
      </c>
      <c r="B5" s="102" t="s">
        <v>82</v>
      </c>
      <c r="C5" s="101" t="s">
        <v>83</v>
      </c>
    </row>
    <row r="6" spans="1:8" s="31" customFormat="1" ht="20.25" customHeight="1">
      <c r="A6" s="117" t="s">
        <v>204</v>
      </c>
      <c r="B6" s="154" t="s">
        <v>160</v>
      </c>
      <c r="C6" s="52">
        <v>228</v>
      </c>
      <c r="E6"/>
      <c r="H6" s="150" t="str">
        <f aca="true" t="shared" si="0" ref="H6:H13">CONCATENATE("E-Waste Scrap (Meter scrap), Lying at ",B6,". Quantity in Kg - ",C6,)</f>
        <v>E-Waste Scrap (Meter scrap), Lying at ME LAB PATIALA (Crushed Meter Scrap/E-Waste). Quantity in Kg - 228</v>
      </c>
    </row>
    <row r="7" spans="1:8" s="31" customFormat="1" ht="20.25" customHeight="1">
      <c r="A7" s="117" t="s">
        <v>159</v>
      </c>
      <c r="B7" s="154" t="s">
        <v>148</v>
      </c>
      <c r="C7" s="52">
        <v>310</v>
      </c>
      <c r="E7"/>
      <c r="F7" s="31">
        <v>92</v>
      </c>
      <c r="H7" s="150" t="str">
        <f t="shared" si="0"/>
        <v>E-Waste Scrap (Meter scrap), Lying at ME LAB SANGRUR (Crushed Meter Scrap/E-Waste). Quantity in Kg - 310</v>
      </c>
    </row>
    <row r="8" spans="1:8" s="31" customFormat="1" ht="20.25" customHeight="1">
      <c r="A8" s="117" t="s">
        <v>161</v>
      </c>
      <c r="B8" s="154" t="s">
        <v>149</v>
      </c>
      <c r="C8" s="52">
        <v>55</v>
      </c>
      <c r="E8"/>
      <c r="H8" s="150" t="str">
        <f t="shared" si="0"/>
        <v>E-Waste Scrap (Meter scrap), Lying at ME LAB ROPAR (Crushed Meter Scrap/E-Waste). Quantity in Kg - 55</v>
      </c>
    </row>
    <row r="9" spans="1:8" s="31" customFormat="1" ht="20.25" customHeight="1">
      <c r="A9" s="117" t="s">
        <v>280</v>
      </c>
      <c r="B9" s="154" t="s">
        <v>278</v>
      </c>
      <c r="C9" s="52">
        <v>625.39</v>
      </c>
      <c r="E9"/>
      <c r="H9" s="150" t="str">
        <f t="shared" si="0"/>
        <v>E-Waste Scrap (Meter scrap), Lying at ME LAB MOGA (Crushed Meter Scrap/E-Waste). Quantity in Kg - 625.39</v>
      </c>
    </row>
    <row r="10" spans="1:8" s="31" customFormat="1" ht="20.25" customHeight="1">
      <c r="A10" s="117" t="s">
        <v>281</v>
      </c>
      <c r="B10" s="154" t="s">
        <v>279</v>
      </c>
      <c r="C10" s="52">
        <v>1364.12</v>
      </c>
      <c r="E10"/>
      <c r="H10" s="150" t="str">
        <f t="shared" si="0"/>
        <v>E-Waste Scrap (Meter scrap), Lying at ME LAB SHRI MUKTSAR SAHIB (Crushed Meter Scrap/E-Waste). Quantity in Kg - 1364.12</v>
      </c>
    </row>
    <row r="11" spans="1:8" s="31" customFormat="1" ht="20.25" customHeight="1">
      <c r="A11" s="117" t="s">
        <v>282</v>
      </c>
      <c r="B11" s="156" t="s">
        <v>154</v>
      </c>
      <c r="C11" s="92">
        <v>1270</v>
      </c>
      <c r="E11"/>
      <c r="G11" s="165"/>
      <c r="H11" s="150" t="str">
        <f t="shared" si="0"/>
        <v>E-Waste Scrap (Meter scrap), Lying at ME LAB PATIALA  (Electronic Meter Scrap/E-Waste )  . Quantity in Kg - 1270</v>
      </c>
    </row>
    <row r="12" spans="1:8" s="31" customFormat="1" ht="20.25" customHeight="1">
      <c r="A12" s="117" t="s">
        <v>283</v>
      </c>
      <c r="B12" s="156" t="s">
        <v>155</v>
      </c>
      <c r="C12" s="92">
        <v>1555</v>
      </c>
      <c r="E12"/>
      <c r="H12" s="150" t="str">
        <f t="shared" si="0"/>
        <v>E-Waste Scrap (Meter scrap), Lying at ME LAB ROPAR  (Electronic Meter Scrap/E-Waste )  . Quantity in Kg - 1555</v>
      </c>
    </row>
    <row r="13" spans="1:8" s="31" customFormat="1" ht="20.25" customHeight="1">
      <c r="A13" s="117" t="s">
        <v>284</v>
      </c>
      <c r="B13" s="156" t="s">
        <v>287</v>
      </c>
      <c r="C13" s="92">
        <v>1715</v>
      </c>
      <c r="E13"/>
      <c r="F13" s="31" t="s">
        <v>243</v>
      </c>
      <c r="H13" s="150" t="str">
        <f t="shared" si="0"/>
        <v>E-Waste Scrap (Meter scrap), Lying at ME LAB SANGRUR  (Electronic Meter Scrap/E-Waste )  . Quantity in Kg - 1715</v>
      </c>
    </row>
    <row r="14" spans="1:5" s="31" customFormat="1" ht="15" customHeight="1">
      <c r="A14" s="42"/>
      <c r="B14" s="43"/>
      <c r="C14" s="110"/>
      <c r="E14"/>
    </row>
    <row r="15" spans="1:3" s="31" customFormat="1" ht="15.75">
      <c r="A15" s="36" t="s">
        <v>84</v>
      </c>
      <c r="B15" s="37" t="s">
        <v>88</v>
      </c>
      <c r="C15" s="38" t="s">
        <v>87</v>
      </c>
    </row>
    <row r="16" spans="1:3" s="31" customFormat="1" ht="15.75">
      <c r="A16" s="36" t="s">
        <v>86</v>
      </c>
      <c r="B16" s="36" t="s">
        <v>86</v>
      </c>
      <c r="C16" s="36" t="s">
        <v>86</v>
      </c>
    </row>
    <row r="17" spans="1:3" s="31" customFormat="1" ht="15">
      <c r="A17" s="32"/>
      <c r="B17" s="33"/>
      <c r="C17" s="3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Administrator</cp:lastModifiedBy>
  <cp:lastPrinted>2023-11-10T07:16:45Z</cp:lastPrinted>
  <dcterms:created xsi:type="dcterms:W3CDTF">1996-10-14T23:33:28Z</dcterms:created>
  <dcterms:modified xsi:type="dcterms:W3CDTF">2023-11-30T09:41:51Z</dcterms:modified>
  <cp:category/>
  <cp:version/>
  <cp:contentType/>
  <cp:contentStatus/>
</cp:coreProperties>
</file>