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770" tabRatio="911" activeTab="0"/>
  </bookViews>
  <sheets>
    <sheet name="scrap" sheetId="1" r:id="rId1"/>
    <sheet name="E-WASTE" sheetId="2" r:id="rId2"/>
  </sheets>
  <definedNames>
    <definedName name="_xlnm.Print_Area" localSheetId="0">'scrap'!$A$1:$E$766</definedName>
  </definedNames>
  <calcPr fullCalcOnLoad="1"/>
</workbook>
</file>

<file path=xl/sharedStrings.xml><?xml version="1.0" encoding="utf-8"?>
<sst xmlns="http://schemas.openxmlformats.org/spreadsheetml/2006/main" count="1312" uniqueCount="455">
  <si>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</si>
  <si>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</si>
  <si>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</si>
  <si>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</si>
  <si>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</si>
  <si>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</si>
  <si>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</si>
  <si>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</si>
  <si>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</si>
  <si>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</si>
  <si>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</si>
  <si>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</si>
  <si>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</si>
  <si>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</si>
  <si>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</si>
  <si>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</si>
  <si>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</si>
  <si>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</si>
  <si>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</si>
  <si>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</si>
  <si>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</si>
  <si>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</si>
  <si>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</si>
  <si>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</si>
  <si>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</si>
  <si>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</si>
  <si>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</si>
  <si>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</si>
  <si>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</si>
  <si>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</si>
  <si>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</si>
  <si>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</si>
  <si>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</si>
  <si>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</si>
  <si>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</si>
  <si>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</si>
  <si>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</si>
  <si>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</si>
  <si>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</si>
  <si>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</si>
  <si>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</si>
  <si>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</si>
  <si>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</si>
  <si>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</si>
  <si>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</si>
  <si>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</si>
  <si>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</si>
  <si>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</si>
  <si>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</si>
  <si>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</si>
  <si>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</si>
  <si>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</si>
  <si>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Lot no. Q-9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</si>
  <si>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</si>
  <si>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</si>
  <si>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</si>
  <si>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</si>
  <si>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</si>
  <si>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</si>
  <si>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</si>
  <si>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</si>
  <si>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</si>
  <si>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</si>
  <si>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</si>
  <si>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</si>
  <si>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</si>
  <si>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</si>
  <si>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</si>
  <si>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</si>
  <si>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</si>
  <si>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</si>
  <si>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</si>
  <si>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</si>
  <si>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</si>
  <si>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</si>
  <si>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</si>
  <si>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</si>
  <si>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</si>
  <si>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</si>
  <si>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</si>
  <si>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</si>
  <si>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</si>
  <si>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</si>
  <si>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</si>
  <si>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</si>
  <si>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</si>
  <si>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</si>
  <si>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</si>
  <si>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</si>
  <si>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</si>
  <si>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</si>
  <si>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</si>
  <si>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</si>
  <si>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</si>
  <si>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</si>
  <si>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</si>
  <si>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</si>
  <si>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</si>
  <si>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</si>
  <si>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</si>
  <si>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</si>
  <si>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</si>
  <si>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</si>
  <si>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</si>
  <si>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store Nabha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</si>
  <si>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</si>
  <si>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</si>
  <si>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</si>
  <si>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</si>
  <si>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</si>
  <si>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</si>
  <si>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</si>
  <si>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</si>
  <si>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</si>
  <si>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</si>
  <si>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</si>
  <si>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</si>
  <si>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</si>
  <si>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</si>
  <si>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</si>
  <si>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</si>
  <si>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</si>
  <si>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</si>
  <si>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</si>
  <si>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</si>
  <si>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</si>
  <si>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</si>
  <si>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</si>
  <si>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</si>
  <si>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</si>
  <si>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</si>
  <si>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</si>
  <si>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</si>
  <si>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</si>
  <si>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</si>
  <si>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</si>
  <si>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</si>
  <si>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</si>
  <si>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</si>
  <si>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</si>
  <si>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- 8</t>
  </si>
  <si>
    <t>Lot no. G - 9</t>
  </si>
  <si>
    <t>Lot no. G - 10</t>
  </si>
  <si>
    <t>Lot no. Q-18</t>
  </si>
  <si>
    <t>Earthwire GSL scrap</t>
  </si>
  <si>
    <t>TRY Ropar</t>
  </si>
  <si>
    <t>Lot no. G - 11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</si>
  <si>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</si>
  <si>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</si>
  <si>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</si>
  <si>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</si>
  <si>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</si>
  <si>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</si>
  <si>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</si>
  <si>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</si>
  <si>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</si>
  <si>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</si>
  <si>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</si>
  <si>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</si>
  <si>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</si>
  <si>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 xml:space="preserve">ME LAB PATIALA  (Electronic Meter Scrap/E-Waste )  </t>
  </si>
  <si>
    <t xml:space="preserve">ME LAB ROPAR  (Electronic Meter Scrap/E-Waste )  </t>
  </si>
  <si>
    <t>OL Shri Muktsar sahib</t>
  </si>
  <si>
    <t>Lot no. G - 12</t>
  </si>
  <si>
    <t>Lot No B-5</t>
  </si>
  <si>
    <t>Central Store Patiala</t>
  </si>
  <si>
    <t>ME LAB PATIALA (Crushed Meter Scrap/E-Waste)</t>
  </si>
  <si>
    <t>Lot No. I-9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</si>
  <si>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</si>
  <si>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</si>
  <si>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</si>
  <si>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</si>
  <si>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</si>
  <si>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</si>
  <si>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</si>
  <si>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</si>
  <si>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</si>
  <si>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</si>
  <si>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</si>
  <si>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</si>
  <si>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</si>
  <si>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</si>
  <si>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GI scrap</t>
  </si>
  <si>
    <t>Lot no. E - 9</t>
  </si>
  <si>
    <t>Lot no. E - 14</t>
  </si>
  <si>
    <t>Lot no. E - 15</t>
  </si>
  <si>
    <t>Lot No A-4</t>
  </si>
  <si>
    <t>Outlet store Malerkotla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</si>
  <si>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</si>
  <si>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</si>
  <si>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</si>
  <si>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</si>
  <si>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</si>
  <si>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</si>
  <si>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</si>
  <si>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</si>
  <si>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</si>
  <si>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</si>
  <si>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</si>
  <si>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</si>
  <si>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</si>
  <si>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</si>
  <si>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</si>
  <si>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</si>
  <si>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</si>
  <si>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</si>
  <si>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</si>
  <si>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</si>
  <si>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</si>
  <si>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</si>
  <si>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</si>
  <si>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</si>
  <si>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</si>
  <si>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</si>
  <si>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</si>
  <si>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</si>
  <si>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MS Angle/ Channel Scrap</t>
  </si>
  <si>
    <t>Central Store Sangrur</t>
  </si>
  <si>
    <t>Lot no. Q-21</t>
  </si>
  <si>
    <t>Lot no. D-14</t>
  </si>
  <si>
    <t>Lot no. E - 19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</si>
  <si>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</si>
  <si>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</si>
  <si>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</si>
  <si>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</si>
  <si>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</si>
  <si>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</si>
  <si>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</si>
  <si>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</si>
  <si>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</si>
  <si>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</si>
  <si>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</si>
  <si>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GI wire /GSL scrap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</si>
  <si>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</si>
  <si>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</si>
  <si>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</si>
  <si>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</si>
  <si>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</si>
  <si>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</si>
  <si>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</si>
  <si>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</si>
  <si>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Nabha</t>
  </si>
  <si>
    <t>Outlet store Rajpura</t>
  </si>
  <si>
    <t>M.S. Rail Scrap</t>
  </si>
  <si>
    <t>Lot no. E - 20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</si>
  <si>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</si>
  <si>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</si>
  <si>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</si>
  <si>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</si>
  <si>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</si>
  <si>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</si>
  <si>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 (unstandard tf's)</t>
  </si>
  <si>
    <t>WNP-1 (unstandard tf's)</t>
  </si>
  <si>
    <t>WNP-3 (unstandard tf's)</t>
  </si>
  <si>
    <t>63 KVA</t>
  </si>
  <si>
    <t>NEW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</si>
  <si>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</si>
  <si>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</si>
  <si>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</si>
  <si>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</si>
  <si>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</si>
  <si>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</si>
  <si>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</si>
  <si>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</si>
  <si>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</si>
  <si>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</si>
  <si>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</si>
  <si>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</si>
  <si>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</si>
  <si>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</si>
  <si>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</si>
  <si>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</si>
  <si>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</si>
  <si>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</si>
  <si>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</si>
  <si>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</si>
  <si>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</si>
  <si>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200 KVA</t>
  </si>
  <si>
    <t>PTEL-1</t>
  </si>
  <si>
    <t>Outlet store Fazilka</t>
  </si>
  <si>
    <t>Lot No B-10</t>
  </si>
  <si>
    <t>Lot No B-11</t>
  </si>
  <si>
    <t>Lot No B-13</t>
  </si>
  <si>
    <t>Lot no. G - 13</t>
  </si>
  <si>
    <t>Lot no. D17</t>
  </si>
  <si>
    <t>Lot no. Q-27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</si>
  <si>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</si>
  <si>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</si>
  <si>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</si>
  <si>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</si>
  <si>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</si>
  <si>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</si>
  <si>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</si>
  <si>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</si>
  <si>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</si>
  <si>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</si>
  <si>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</si>
  <si>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</si>
  <si>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</si>
  <si>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 xml:space="preserve">ME LAB SANGRUR  (Electronic Meter Scrap/E-Waste )  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</si>
  <si>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</si>
  <si>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</si>
  <si>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</si>
  <si>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</si>
  <si>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</si>
  <si>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</si>
  <si>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</si>
  <si>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SARAF 1, NUCON 3, JR 1, PTEL 1, TA 3, SICL 2</t>
  </si>
  <si>
    <t>AGARWAL 1, JR 4, UTTAM 1, TA 1, NPC 1, STAR 1, JM 1, PP 1,</t>
  </si>
  <si>
    <t>JR 1, JB 1</t>
  </si>
  <si>
    <t>ARD 2, JB 2, ECO 1, SICL 2, PTEL 1, JBK 1</t>
  </si>
  <si>
    <t>SR IMPEX 1, UP 1,</t>
  </si>
  <si>
    <t>JB 1, PP 1, TA 1</t>
  </si>
  <si>
    <t>ELE 1</t>
  </si>
  <si>
    <t>VIJAI 1, SICL 1</t>
  </si>
  <si>
    <t>63 KVA (amorphous core)</t>
  </si>
  <si>
    <t>NPC-1 (amorphous core)</t>
  </si>
  <si>
    <t>GEES -1</t>
  </si>
  <si>
    <t xml:space="preserve"> JBB=1 (unstandard tf's)</t>
  </si>
  <si>
    <t>144/2023</t>
  </si>
  <si>
    <t>145/2023</t>
  </si>
  <si>
    <t>146/2023</t>
  </si>
  <si>
    <t>147/2023</t>
  </si>
  <si>
    <t>149/2023</t>
  </si>
  <si>
    <t>150/2023</t>
  </si>
  <si>
    <t>151/2023</t>
  </si>
  <si>
    <t>152/2023</t>
  </si>
  <si>
    <t>153/2023</t>
  </si>
  <si>
    <t>154/2023</t>
  </si>
  <si>
    <t>148/2023</t>
  </si>
  <si>
    <t>G)  Wooden scrap (without iron parts) lying as per detail given below:-</t>
  </si>
  <si>
    <t>CS Mohali (.314 MT intermingle)</t>
  </si>
  <si>
    <t>PP-1, SICL-1, MCPL-1</t>
  </si>
  <si>
    <t>SARAF-1, SICL-2, PP-1, NUCON-1,DURA-2, SHIVALIK-3</t>
  </si>
  <si>
    <t>WNP-8  (unstandard tf's)</t>
  </si>
  <si>
    <t>HITECH=2,JM=2,JR=4,MS=2,NUCON=3,PP=3,PTEL=3,PTEL/PME=1,SARAF=2,SUSHIL=1,SICL=2</t>
  </si>
  <si>
    <t>AMSON=1,DURABLE=1,HR=5,JM=1,JR=5,MS=2,PTEL=3,SICL=1,TA=6</t>
  </si>
  <si>
    <t>AGGARWAL=2,HITECH=1,HR=4,JM=1,JR=3,NUCON=3,PTEL=2,SICL=1,SUSHIL=1,TA=2</t>
  </si>
  <si>
    <t>ARD=2,HR=2,JB=2,AJAY=1,NV=8,MS=6,NPC=3,PP=1(unstandard tf's)</t>
  </si>
  <si>
    <t>ARD=1,HR=3,JB=2,JB/NV=3,MS=3,NUCON=2 (unstandard tf's)</t>
  </si>
  <si>
    <t>JB/NV=2 (unstandard tf's)</t>
  </si>
  <si>
    <t>KISAN=2 (unstandard tf's)</t>
  </si>
  <si>
    <t>JB=1,JB/NV=1,MS=2,()unstandard tf's)</t>
  </si>
  <si>
    <t>ARD=1,DURABLE=2,JM=1,JR=6,MS=3,NUCON=4,PP=4,SARAF=2,SHIVA=1,TA=1</t>
  </si>
  <si>
    <t>MS Nuts &amp; bolts scrap</t>
  </si>
  <si>
    <t>Outlet store Bhagta Bhai Ka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</si>
  <si>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</si>
  <si>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</si>
  <si>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</si>
  <si>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</si>
  <si>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</si>
  <si>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t>DAUSA - 1, PTEL - 1, SIC-1</t>
  </si>
  <si>
    <t>SARAF - 2, PP - 1</t>
  </si>
  <si>
    <t>WNP-14 (unstandard tf's)</t>
  </si>
  <si>
    <t>WNP-7 (unstandard tf's)</t>
  </si>
  <si>
    <t>Lot no. E -13</t>
  </si>
  <si>
    <t>NPC-1,PTEL-2,JB-1</t>
  </si>
  <si>
    <t>SUSHIL-1,SIC-1</t>
  </si>
  <si>
    <t>PPI-1,NSL-1</t>
  </si>
  <si>
    <t>JB-3,ECN-1,PTEL-1,ARD-1,NPC-1</t>
  </si>
  <si>
    <t>ELECTRA-1,SCN-1</t>
  </si>
  <si>
    <t>TA-2</t>
  </si>
  <si>
    <t>HBP-2,JB-1</t>
  </si>
  <si>
    <t>200 KVA (CORE &amp; TANK)</t>
  </si>
  <si>
    <t xml:space="preserve">DTB-7,NPC-1 </t>
  </si>
  <si>
    <t>300 KVA (CORE &amp; TANK)</t>
  </si>
  <si>
    <t>MRN-1</t>
  </si>
  <si>
    <t>SHIVALIK-1</t>
  </si>
  <si>
    <t>SICL-1, AGGARWAL-1, SHIVALIK-4</t>
  </si>
  <si>
    <t>JB-1</t>
  </si>
  <si>
    <t>WNP-10  (unstandard tf's)</t>
  </si>
  <si>
    <t>WNP-5 (unstandard tf's)</t>
  </si>
  <si>
    <t>WNP-2 (unstandard tf's)</t>
  </si>
  <si>
    <t>SICL-3, PTEL-2, PP-1, JB-1, ECO-1, NBGL-1, NUCON-1, SHIVALIK-11</t>
  </si>
  <si>
    <r>
      <t xml:space="preserve">Lot No. C 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ROPAR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</si>
  <si>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</si>
  <si>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</si>
  <si>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t>PTEL-3, PP-3</t>
  </si>
  <si>
    <t>SICL-2</t>
  </si>
  <si>
    <t>ECO-1, SICL-1</t>
  </si>
  <si>
    <t>Lot No B-12</t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</si>
  <si>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</si>
  <si>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SUSHIL-1,JK-1,SICL-1,EPS-2,SHIVALIK-1</t>
  </si>
  <si>
    <t>JB-1,NUCON-2,NPC-2,TA-2,SBI-2,SICL-3</t>
  </si>
  <si>
    <t>ELECTRA-1,NUCON-1,JB-1,SHIVSHAKTI-2</t>
  </si>
  <si>
    <t>PP-1,JB-1</t>
  </si>
  <si>
    <t>MAHASHAKTI-1(unstandard tf's)</t>
  </si>
  <si>
    <t>ALCON-1 (unstandard tf's)</t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</si>
  <si>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</si>
  <si>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54/2023</t>
  </si>
  <si>
    <t>SKYWAY-1, UTTAM-1, SHIVALIK-1</t>
  </si>
  <si>
    <t>55/2023</t>
  </si>
  <si>
    <t>UP T/F-1, JR-1, HI TECH-1</t>
  </si>
  <si>
    <t>BHOPAL-1, DANISH-1, PME-1, NUCON-1</t>
  </si>
  <si>
    <t>56/2023</t>
  </si>
  <si>
    <t xml:space="preserve"> WNP=2 (unstandard tf's)</t>
  </si>
  <si>
    <t>57/2023</t>
  </si>
  <si>
    <r>
      <t xml:space="preserve">Lot No. C12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</si>
  <si>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 xml:space="preserve"> WNP=25 (unstandard tf's)</t>
  </si>
  <si>
    <t xml:space="preserve"> WNP=29 (unstandard tf's)</t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</si>
  <si>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</si>
  <si>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</si>
  <si>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</si>
  <si>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</si>
  <si>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</si>
  <si>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</si>
  <si>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</si>
  <si>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</si>
  <si>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new</t>
  </si>
  <si>
    <t>Lot no. E - 16</t>
  </si>
  <si>
    <t>Lot no. E - 17</t>
  </si>
  <si>
    <t>MS Iron scrap</t>
  </si>
  <si>
    <t>S &amp; T Store Bathinda ( .465 MT intermingle )</t>
  </si>
  <si>
    <t xml:space="preserve">S &amp; T Store Bathinda </t>
  </si>
  <si>
    <t>Lot no. Q-29</t>
  </si>
  <si>
    <t>Lot No A-15</t>
  </si>
  <si>
    <t>Lot No A-16</t>
  </si>
  <si>
    <t>Lot No A-17</t>
  </si>
  <si>
    <t>Central Store Malout</t>
  </si>
  <si>
    <t>Lot no. I-7</t>
  </si>
  <si>
    <t>CS Bathinda (.095 MT intermingle)</t>
  </si>
  <si>
    <t>OL Shri Mukfsar Sahib</t>
  </si>
  <si>
    <t>Lot no. Q-30</t>
  </si>
  <si>
    <t>CS Ferozepur( .004 MT intermingle )</t>
  </si>
  <si>
    <t xml:space="preserve">ME LAB BATHINDA  (Electronic Meter Scrap/E-Waste )  </t>
  </si>
  <si>
    <t xml:space="preserve">ME LAB MOGA (Electronic Meter Scrap/E-Waste )  </t>
  </si>
  <si>
    <t xml:space="preserve">ME LAB SHRI MUKSAR SAHIB  (Electronic Meter Scrap/E-Waste )  </t>
  </si>
  <si>
    <t>Lot No. I-15</t>
  </si>
  <si>
    <t>Lot No. I-16</t>
  </si>
  <si>
    <t>Lot No. I-17</t>
  </si>
  <si>
    <t>Lot No. I-18</t>
  </si>
  <si>
    <t>TRY Barnala</t>
  </si>
  <si>
    <t>Lot no. Q-31</t>
  </si>
  <si>
    <t>Lot no. Q-32</t>
  </si>
  <si>
    <t>Lot no. Q-33</t>
  </si>
  <si>
    <t>Lot No A-18</t>
  </si>
  <si>
    <t>CS Patiala (.025 MT intermingle )</t>
  </si>
  <si>
    <t>CS Pafiala</t>
  </si>
  <si>
    <t>Lot no. E - 21</t>
  </si>
  <si>
    <t>Lot no. E - 22</t>
  </si>
  <si>
    <t>Lot no. E - 23</t>
  </si>
  <si>
    <t>Lot no. E - 24</t>
  </si>
  <si>
    <t>ARDISON-1,SKYWAY-1,UTTAM-2</t>
  </si>
  <si>
    <t>NUCON-1,MS-1</t>
  </si>
  <si>
    <r>
      <t xml:space="preserve">Lot No. C 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</si>
  <si>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t xml:space="preserve"> WNP=19 (unstandard tf's)</t>
  </si>
  <si>
    <t>ARD-1,WNP-19 ( unstandard tf's)</t>
  </si>
  <si>
    <t>JB-1,WNP-11 (unstandard tf's)</t>
  </si>
  <si>
    <t>Alu.  seals scrap with lash wire</t>
  </si>
  <si>
    <t>Lot no. G - 14</t>
  </si>
  <si>
    <t>Lot no. I-8</t>
  </si>
  <si>
    <t>Lot No. I-19</t>
  </si>
  <si>
    <t xml:space="preserve">NOTE : Before lifting of Transformers (From Lot no. C-1 to C-14), HT/LT copper winding coils of transformers shall be mutilated by the purchaser. </t>
  </si>
  <si>
    <t>EA-57 /PTA-2023-24</t>
  </si>
  <si>
    <t>12.12.2023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</si>
</sst>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/mm/yyyy"/>
  </numFmts>
  <fonts count="8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b/>
      <u val="single"/>
      <sz val="11"/>
      <color indexed="8"/>
      <name val="Comic Sans MS"/>
      <family val="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b/>
      <u val="single"/>
      <sz val="11"/>
      <color theme="1"/>
      <name val="Comic Sans MS"/>
      <family val="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u val="single"/>
      <sz val="10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vertical="center"/>
    </xf>
    <xf numFmtId="0" fontId="68" fillId="0" borderId="16" xfId="0" applyFont="1" applyFill="1" applyBorder="1" applyAlignment="1">
      <alignment vertical="center"/>
    </xf>
    <xf numFmtId="0" fontId="69" fillId="0" borderId="13" xfId="0" applyFont="1" applyFill="1" applyBorder="1" applyAlignment="1">
      <alignment horizontal="center" vertical="center" wrapText="1"/>
    </xf>
    <xf numFmtId="184" fontId="70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left" vertical="center" wrapText="1"/>
    </xf>
    <xf numFmtId="0" fontId="71" fillId="0" borderId="19" xfId="0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21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0" fillId="0" borderId="0" xfId="0" applyAlignment="1">
      <alignment vertical="top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70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vertical="top"/>
    </xf>
    <xf numFmtId="1" fontId="76" fillId="0" borderId="0" xfId="0" applyNumberFormat="1" applyFont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77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184" fontId="72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/>
    </xf>
    <xf numFmtId="0" fontId="72" fillId="0" borderId="16" xfId="0" applyFont="1" applyFill="1" applyBorder="1" applyAlignment="1">
      <alignment horizontal="center" vertical="center" wrapText="1"/>
    </xf>
    <xf numFmtId="184" fontId="77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184" fontId="72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4" fontId="72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84" fontId="72" fillId="0" borderId="2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84" fontId="77" fillId="0" borderId="14" xfId="0" applyNumberFormat="1" applyFont="1" applyFill="1" applyBorder="1" applyAlignment="1">
      <alignment horizontal="center" vertical="center" wrapText="1"/>
    </xf>
    <xf numFmtId="1" fontId="72" fillId="0" borderId="21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 wrapText="1"/>
    </xf>
    <xf numFmtId="184" fontId="72" fillId="0" borderId="15" xfId="0" applyNumberFormat="1" applyFont="1" applyFill="1" applyBorder="1" applyAlignment="1">
      <alignment horizontal="center" vertical="center" wrapText="1"/>
    </xf>
    <xf numFmtId="184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84" fontId="77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" fontId="77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84" fontId="72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72" fillId="0" borderId="13" xfId="0" applyFont="1" applyFill="1" applyBorder="1" applyAlignment="1">
      <alignment horizontal="center" vertical="top" wrapText="1"/>
    </xf>
    <xf numFmtId="184" fontId="10" fillId="0" borderId="22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184" fontId="72" fillId="0" borderId="13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top" wrapText="1"/>
    </xf>
    <xf numFmtId="184" fontId="10" fillId="0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184" fontId="10" fillId="0" borderId="22" xfId="0" applyNumberFormat="1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 vertical="center" wrapText="1"/>
    </xf>
    <xf numFmtId="184" fontId="10" fillId="0" borderId="17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wrapText="1"/>
    </xf>
    <xf numFmtId="184" fontId="10" fillId="0" borderId="22" xfId="0" applyNumberFormat="1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/>
    </xf>
    <xf numFmtId="184" fontId="77" fillId="0" borderId="22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top" wrapText="1"/>
    </xf>
    <xf numFmtId="184" fontId="72" fillId="0" borderId="13" xfId="0" applyNumberFormat="1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center" wrapText="1"/>
    </xf>
    <xf numFmtId="184" fontId="10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82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73" fillId="0" borderId="16" xfId="0" applyFont="1" applyFill="1" applyBorder="1" applyAlignment="1">
      <alignment vertical="center"/>
    </xf>
    <xf numFmtId="0" fontId="73" fillId="0" borderId="14" xfId="0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Fill="1" applyBorder="1" applyAlignment="1">
      <alignment vertical="top"/>
    </xf>
    <xf numFmtId="0" fontId="82" fillId="0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/>
    </xf>
    <xf numFmtId="17" fontId="10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82" fillId="0" borderId="13" xfId="0" applyFont="1" applyFill="1" applyBorder="1" applyAlignment="1">
      <alignment horizontal="center" vertical="center" wrapText="1"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0" fillId="32" borderId="13" xfId="57" applyFont="1" applyFill="1" applyBorder="1" applyAlignment="1">
      <alignment horizontal="center" vertical="center"/>
      <protection/>
    </xf>
    <xf numFmtId="0" fontId="77" fillId="0" borderId="13" xfId="0" applyFont="1" applyBorder="1" applyAlignment="1">
      <alignment horizontal="center" vertical="center" wrapText="1"/>
    </xf>
    <xf numFmtId="2" fontId="75" fillId="0" borderId="0" xfId="0" applyNumberFormat="1" applyFont="1" applyAlignment="1">
      <alignment/>
    </xf>
    <xf numFmtId="184" fontId="77" fillId="0" borderId="13" xfId="0" applyNumberFormat="1" applyFont="1" applyFill="1" applyBorder="1" applyAlignment="1">
      <alignment horizontal="center" vertical="top" wrapText="1"/>
    </xf>
    <xf numFmtId="184" fontId="77" fillId="0" borderId="1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/>
    </xf>
    <xf numFmtId="184" fontId="77" fillId="0" borderId="14" xfId="0" applyNumberFormat="1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10" fillId="0" borderId="13" xfId="57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 wrapText="1"/>
      <protection/>
    </xf>
    <xf numFmtId="184" fontId="2" fillId="0" borderId="13" xfId="0" applyNumberFormat="1" applyFont="1" applyFill="1" applyBorder="1" applyAlignment="1">
      <alignment horizontal="center" vertical="top" wrapText="1"/>
    </xf>
    <xf numFmtId="0" fontId="77" fillId="0" borderId="23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184" fontId="72" fillId="0" borderId="15" xfId="0" applyNumberFormat="1" applyFont="1" applyFill="1" applyBorder="1" applyAlignment="1">
      <alignment horizontal="right" vertical="center" wrapText="1"/>
    </xf>
    <xf numFmtId="184" fontId="10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left" vertical="top" wrapText="1"/>
    </xf>
    <xf numFmtId="184" fontId="72" fillId="0" borderId="24" xfId="0" applyNumberFormat="1" applyFont="1" applyFill="1" applyBorder="1" applyAlignment="1">
      <alignment horizontal="center" vertical="top" wrapText="1"/>
    </xf>
    <xf numFmtId="0" fontId="72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10" fillId="33" borderId="13" xfId="57" applyFont="1" applyFill="1" applyBorder="1" applyAlignment="1">
      <alignment horizontal="center" vertical="center"/>
      <protection/>
    </xf>
    <xf numFmtId="0" fontId="72" fillId="0" borderId="13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32" borderId="13" xfId="0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77" fillId="0" borderId="13" xfId="0" applyFont="1" applyBorder="1" applyAlignment="1">
      <alignment horizontal="center"/>
    </xf>
    <xf numFmtId="0" fontId="77" fillId="33" borderId="13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82" fillId="0" borderId="2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77" fillId="32" borderId="13" xfId="0" applyFont="1" applyFill="1" applyBorder="1" applyAlignment="1">
      <alignment horizontal="center" vertical="center" wrapText="1"/>
    </xf>
    <xf numFmtId="0" fontId="77" fillId="32" borderId="23" xfId="0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center"/>
    </xf>
    <xf numFmtId="0" fontId="77" fillId="0" borderId="13" xfId="57" applyFont="1" applyBorder="1" applyAlignment="1">
      <alignment horizontal="center" vertical="center"/>
      <protection/>
    </xf>
    <xf numFmtId="0" fontId="77" fillId="32" borderId="13" xfId="57" applyFont="1" applyFill="1" applyBorder="1" applyAlignment="1">
      <alignment horizontal="center" vertical="center"/>
      <protection/>
    </xf>
    <xf numFmtId="0" fontId="85" fillId="0" borderId="13" xfId="0" applyFont="1" applyBorder="1" applyAlignment="1">
      <alignment horizontal="center"/>
    </xf>
    <xf numFmtId="0" fontId="77" fillId="0" borderId="2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1" fontId="77" fillId="0" borderId="13" xfId="0" applyNumberFormat="1" applyFont="1" applyFill="1" applyBorder="1" applyAlignment="1">
      <alignment horizontal="center" vertical="center" wrapText="1"/>
    </xf>
    <xf numFmtId="184" fontId="77" fillId="0" borderId="23" xfId="0" applyNumberFormat="1" applyFont="1" applyFill="1" applyBorder="1" applyAlignment="1">
      <alignment horizontal="center" vertical="center" wrapText="1"/>
    </xf>
    <xf numFmtId="184" fontId="77" fillId="0" borderId="22" xfId="0" applyNumberFormat="1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top" wrapText="1"/>
    </xf>
    <xf numFmtId="0" fontId="77" fillId="0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184" fontId="10" fillId="0" borderId="23" xfId="0" applyNumberFormat="1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vertical="top"/>
    </xf>
    <xf numFmtId="0" fontId="75" fillId="0" borderId="13" xfId="0" applyFont="1" applyBorder="1" applyAlignment="1">
      <alignment/>
    </xf>
    <xf numFmtId="0" fontId="0" fillId="0" borderId="13" xfId="0" applyBorder="1" applyAlignment="1">
      <alignment/>
    </xf>
    <xf numFmtId="0" fontId="82" fillId="0" borderId="13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vertical="top"/>
    </xf>
    <xf numFmtId="0" fontId="72" fillId="0" borderId="13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184" fontId="77" fillId="0" borderId="13" xfId="0" applyNumberFormat="1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left" vertical="top" wrapText="1"/>
    </xf>
    <xf numFmtId="0" fontId="73" fillId="0" borderId="16" xfId="0" applyFont="1" applyFill="1" applyBorder="1" applyAlignment="1">
      <alignment horizontal="left" vertical="top" wrapText="1"/>
    </xf>
    <xf numFmtId="0" fontId="73" fillId="0" borderId="14" xfId="0" applyFont="1" applyFill="1" applyBorder="1" applyAlignment="1">
      <alignment horizontal="left" vertical="top" wrapText="1"/>
    </xf>
    <xf numFmtId="184" fontId="77" fillId="0" borderId="15" xfId="0" applyNumberFormat="1" applyFont="1" applyFill="1" applyBorder="1" applyAlignment="1">
      <alignment horizontal="center" vertical="center" wrapText="1"/>
    </xf>
    <xf numFmtId="184" fontId="67" fillId="0" borderId="0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184" fontId="77" fillId="0" borderId="13" xfId="0" applyNumberFormat="1" applyFont="1" applyFill="1" applyBorder="1" applyAlignment="1">
      <alignment horizontal="center" vertical="center" wrapText="1"/>
    </xf>
    <xf numFmtId="184" fontId="77" fillId="0" borderId="15" xfId="0" applyNumberFormat="1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left" vertical="top" wrapText="1"/>
    </xf>
    <xf numFmtId="0" fontId="73" fillId="0" borderId="16" xfId="0" applyFont="1" applyFill="1" applyBorder="1" applyAlignment="1">
      <alignment horizontal="left" vertical="top" wrapText="1"/>
    </xf>
    <xf numFmtId="0" fontId="73" fillId="0" borderId="14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justify" vertical="top" wrapText="1"/>
    </xf>
    <xf numFmtId="0" fontId="73" fillId="0" borderId="22" xfId="0" applyFont="1" applyFill="1" applyBorder="1" applyAlignment="1">
      <alignment horizontal="justify" vertical="top" wrapText="1"/>
    </xf>
    <xf numFmtId="0" fontId="71" fillId="0" borderId="17" xfId="0" applyFont="1" applyFill="1" applyBorder="1" applyAlignment="1">
      <alignment horizontal="center" vertical="top" wrapText="1"/>
    </xf>
    <xf numFmtId="0" fontId="71" fillId="0" borderId="11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top" wrapText="1"/>
    </xf>
    <xf numFmtId="0" fontId="84" fillId="0" borderId="17" xfId="0" applyFont="1" applyFill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top" wrapText="1"/>
    </xf>
    <xf numFmtId="0" fontId="77" fillId="0" borderId="16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top" wrapText="1"/>
    </xf>
    <xf numFmtId="0" fontId="72" fillId="0" borderId="27" xfId="0" applyFont="1" applyFill="1" applyBorder="1" applyAlignment="1">
      <alignment horizontal="center" vertical="top" wrapText="1"/>
    </xf>
    <xf numFmtId="0" fontId="71" fillId="0" borderId="15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2" fillId="0" borderId="28" xfId="0" applyFont="1" applyFill="1" applyBorder="1" applyAlignment="1">
      <alignment horizontal="center" vertical="top" wrapText="1"/>
    </xf>
    <xf numFmtId="0" fontId="72" fillId="0" borderId="29" xfId="0" applyFont="1" applyFill="1" applyBorder="1" applyAlignment="1">
      <alignment horizontal="center" vertical="top" wrapText="1"/>
    </xf>
    <xf numFmtId="0" fontId="71" fillId="0" borderId="15" xfId="0" applyFont="1" applyFill="1" applyBorder="1" applyAlignment="1">
      <alignment horizontal="left" vertical="top" wrapText="1"/>
    </xf>
    <xf numFmtId="0" fontId="71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73" fillId="0" borderId="15" xfId="0" applyFont="1" applyFill="1" applyBorder="1" applyAlignment="1">
      <alignment horizontal="left" vertical="center"/>
    </xf>
    <xf numFmtId="0" fontId="73" fillId="0" borderId="16" xfId="0" applyFont="1" applyFill="1" applyBorder="1" applyAlignment="1">
      <alignment horizontal="left" vertical="center"/>
    </xf>
    <xf numFmtId="0" fontId="73" fillId="0" borderId="14" xfId="0" applyFont="1" applyFill="1" applyBorder="1" applyAlignment="1">
      <alignment horizontal="left" vertical="center"/>
    </xf>
    <xf numFmtId="0" fontId="73" fillId="0" borderId="15" xfId="0" applyFont="1" applyFill="1" applyBorder="1" applyAlignment="1">
      <alignment horizontal="justify" vertical="top" wrapText="1"/>
    </xf>
    <xf numFmtId="0" fontId="73" fillId="0" borderId="16" xfId="0" applyFont="1" applyFill="1" applyBorder="1" applyAlignment="1">
      <alignment horizontal="justify" vertical="top" wrapText="1"/>
    </xf>
    <xf numFmtId="0" fontId="73" fillId="0" borderId="14" xfId="0" applyFont="1" applyFill="1" applyBorder="1" applyAlignment="1">
      <alignment horizontal="justify" vertical="top" wrapText="1"/>
    </xf>
    <xf numFmtId="0" fontId="71" fillId="0" borderId="15" xfId="0" applyFont="1" applyFill="1" applyBorder="1" applyAlignment="1">
      <alignment horizontal="left" wrapText="1"/>
    </xf>
    <xf numFmtId="0" fontId="71" fillId="0" borderId="16" xfId="0" applyFont="1" applyFill="1" applyBorder="1" applyAlignment="1">
      <alignment horizontal="left" wrapText="1"/>
    </xf>
    <xf numFmtId="0" fontId="71" fillId="0" borderId="14" xfId="0" applyFont="1" applyFill="1" applyBorder="1" applyAlignment="1">
      <alignment horizontal="left" wrapText="1"/>
    </xf>
    <xf numFmtId="0" fontId="72" fillId="0" borderId="28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vertical="center" wrapText="1"/>
    </xf>
    <xf numFmtId="0" fontId="74" fillId="0" borderId="0" xfId="0" applyFont="1" applyAlignment="1">
      <alignment horizontal="center"/>
    </xf>
    <xf numFmtId="17" fontId="77" fillId="0" borderId="13" xfId="0" applyNumberFormat="1" applyFont="1" applyFill="1" applyBorder="1" applyAlignment="1">
      <alignment horizontal="center" vertical="center" wrapText="1"/>
    </xf>
    <xf numFmtId="0" fontId="77" fillId="0" borderId="13" xfId="57" applyFont="1" applyFill="1" applyBorder="1" applyAlignment="1">
      <alignment horizontal="center" vertical="center" wrapText="1"/>
      <protection/>
    </xf>
    <xf numFmtId="0" fontId="77" fillId="0" borderId="13" xfId="57" applyFont="1" applyFill="1" applyBorder="1" applyAlignment="1">
      <alignment horizontal="center" vertical="center"/>
      <protection/>
    </xf>
    <xf numFmtId="0" fontId="77" fillId="0" borderId="14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8"/>
  <sheetViews>
    <sheetView tabSelected="1" view="pageBreakPreview" zoomScaleNormal="70" zoomScaleSheetLayoutView="100" zoomScalePageLayoutView="70" workbookViewId="0" topLeftCell="A1">
      <selection activeCell="C10" sqref="C10:D10"/>
    </sheetView>
  </sheetViews>
  <sheetFormatPr defaultColWidth="9.140625" defaultRowHeight="12.75"/>
  <cols>
    <col min="1" max="1" width="16.140625" style="6" customWidth="1"/>
    <col min="2" max="2" width="15.421875" style="3" customWidth="1"/>
    <col min="3" max="3" width="25.8515625" style="4" customWidth="1"/>
    <col min="4" max="4" width="70.421875" style="4" customWidth="1"/>
    <col min="5" max="5" width="29.00390625" style="3" customWidth="1"/>
    <col min="6" max="6" width="9.140625" style="1" hidden="1" customWidth="1"/>
    <col min="7" max="7" width="87.421875" style="1" hidden="1" customWidth="1"/>
    <col min="8" max="8" width="159.57421875" style="136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42" t="s">
        <v>73</v>
      </c>
      <c r="B1" s="343"/>
      <c r="C1" s="343"/>
      <c r="D1" s="343"/>
      <c r="E1" s="343"/>
    </row>
    <row r="2" spans="1:4" ht="19.5" customHeight="1">
      <c r="A2" s="344" t="s">
        <v>9</v>
      </c>
      <c r="B2" s="345"/>
      <c r="C2" s="345"/>
      <c r="D2" s="5" t="s">
        <v>453</v>
      </c>
    </row>
    <row r="3" spans="1:4" ht="16.5" customHeight="1">
      <c r="A3" s="344" t="s">
        <v>10</v>
      </c>
      <c r="B3" s="345"/>
      <c r="C3" s="345"/>
      <c r="D3" s="5" t="s">
        <v>454</v>
      </c>
    </row>
    <row r="4" spans="1:5" ht="31.5" customHeight="1">
      <c r="A4" s="346" t="s">
        <v>246</v>
      </c>
      <c r="B4" s="347"/>
      <c r="C4" s="347"/>
      <c r="D4" s="347"/>
      <c r="E4" s="347"/>
    </row>
    <row r="5" spans="1:6" ht="19.5" customHeight="1">
      <c r="A5" s="340" t="s">
        <v>0</v>
      </c>
      <c r="B5" s="341"/>
      <c r="C5" s="341"/>
      <c r="D5" s="341"/>
      <c r="E5" s="80" t="s">
        <v>7</v>
      </c>
      <c r="F5" s="176"/>
    </row>
    <row r="6" spans="1:8" ht="17.25" customHeight="1">
      <c r="A6" s="293" t="s">
        <v>75</v>
      </c>
      <c r="B6" s="294"/>
      <c r="C6" s="290" t="s">
        <v>147</v>
      </c>
      <c r="D6" s="290"/>
      <c r="E6" s="261">
        <v>3.799</v>
      </c>
      <c r="F6" s="1">
        <v>1.396</v>
      </c>
      <c r="H6" s="128" t="str">
        <f>CONCATENATE("Aluminium Conductor Steel Reinforced scrap, Lying at ",C6,". Quantity in MT - ",E6,)</f>
        <v>Aluminium Conductor Steel Reinforced scrap, Lying at Outlet store Shri Muktsar sahib. Quantity in MT - 3.799</v>
      </c>
    </row>
    <row r="7" spans="1:8" ht="17.25" customHeight="1">
      <c r="A7" s="293" t="s">
        <v>116</v>
      </c>
      <c r="B7" s="294"/>
      <c r="C7" s="274" t="s">
        <v>209</v>
      </c>
      <c r="D7" s="274"/>
      <c r="E7" s="52">
        <v>8.871</v>
      </c>
      <c r="H7" s="128" t="str">
        <f aca="true" t="shared" si="0" ref="H7:H23">CONCATENATE("Aluminium Conductor Steel Reinforced scrap, Lying at ",C7,". Quantity in MT - ",E7,)</f>
        <v>Aluminium Conductor Steel Reinforced scrap, Lying at CS Kotkapura  (.237 MT Intermingle). Quantity in MT - 8.871</v>
      </c>
    </row>
    <row r="8" spans="1:8" ht="17.25" customHeight="1">
      <c r="A8" s="293" t="s">
        <v>168</v>
      </c>
      <c r="B8" s="294"/>
      <c r="C8" s="290" t="s">
        <v>187</v>
      </c>
      <c r="D8" s="290"/>
      <c r="E8" s="261">
        <v>5.721</v>
      </c>
      <c r="F8" s="1">
        <v>3.944</v>
      </c>
      <c r="H8" s="128" t="str">
        <f t="shared" si="0"/>
        <v>Aluminium Conductor Steel Reinforced scrap, Lying at Outlet store Malerkotla. Quantity in MT - 5.721</v>
      </c>
    </row>
    <row r="9" spans="1:8" ht="17.25" customHeight="1">
      <c r="A9" s="293" t="s">
        <v>186</v>
      </c>
      <c r="B9" s="294"/>
      <c r="C9" s="290" t="s">
        <v>241</v>
      </c>
      <c r="D9" s="290"/>
      <c r="E9" s="261">
        <v>3.911</v>
      </c>
      <c r="F9" s="1">
        <v>2.34</v>
      </c>
      <c r="G9" s="136"/>
      <c r="H9" s="128" t="str">
        <f t="shared" si="0"/>
        <v>Aluminium Conductor Steel Reinforced scrap, Lying at Outlet store Nabha. Quantity in MT - 3.911</v>
      </c>
    </row>
    <row r="10" spans="1:8" ht="17.25" customHeight="1">
      <c r="A10" s="293" t="s">
        <v>169</v>
      </c>
      <c r="B10" s="294"/>
      <c r="C10" s="290" t="s">
        <v>242</v>
      </c>
      <c r="D10" s="290"/>
      <c r="E10" s="237">
        <v>2.4</v>
      </c>
      <c r="F10" s="1">
        <v>1.473</v>
      </c>
      <c r="H10" s="128" t="str">
        <f t="shared" si="0"/>
        <v>Aluminium Conductor Steel Reinforced scrap, Lying at Outlet store Rajpura. Quantity in MT - 2.4</v>
      </c>
    </row>
    <row r="11" spans="1:8" ht="17.25" customHeight="1">
      <c r="A11" s="293" t="s">
        <v>188</v>
      </c>
      <c r="B11" s="294"/>
      <c r="C11" s="290" t="s">
        <v>194</v>
      </c>
      <c r="D11" s="290"/>
      <c r="E11" s="261">
        <v>7.78</v>
      </c>
      <c r="F11" s="1">
        <v>5.614</v>
      </c>
      <c r="H11" s="128" t="str">
        <f t="shared" si="0"/>
        <v>Aluminium Conductor Steel Reinforced scrap, Lying at Outlet store Mansa. Quantity in MT - 7.78</v>
      </c>
    </row>
    <row r="12" spans="1:8" ht="17.25" customHeight="1">
      <c r="A12" s="293" t="s">
        <v>170</v>
      </c>
      <c r="B12" s="294"/>
      <c r="C12" s="290" t="s">
        <v>331</v>
      </c>
      <c r="D12" s="290"/>
      <c r="E12" s="261">
        <v>4.958</v>
      </c>
      <c r="F12" s="1">
        <v>2.19</v>
      </c>
      <c r="H12" s="128" t="str">
        <f t="shared" si="0"/>
        <v>Aluminium Conductor Steel Reinforced scrap, Lying at CS Mohali (.314 MT intermingle). Quantity in MT - 4.958</v>
      </c>
    </row>
    <row r="13" spans="1:8" ht="17.25" customHeight="1">
      <c r="A13" s="293" t="s">
        <v>210</v>
      </c>
      <c r="B13" s="294"/>
      <c r="C13" s="290" t="s">
        <v>193</v>
      </c>
      <c r="D13" s="290"/>
      <c r="E13" s="261">
        <v>4.567</v>
      </c>
      <c r="F13" s="1">
        <v>2.101</v>
      </c>
      <c r="H13" s="128" t="str">
        <f t="shared" si="0"/>
        <v>Aluminium Conductor Steel Reinforced scrap, Lying at Outlet store Ropar. Quantity in MT - 4.567</v>
      </c>
    </row>
    <row r="14" spans="1:8" ht="17.25" customHeight="1">
      <c r="A14" s="293" t="s">
        <v>191</v>
      </c>
      <c r="B14" s="294"/>
      <c r="C14" s="290" t="s">
        <v>279</v>
      </c>
      <c r="D14" s="290"/>
      <c r="E14" s="261">
        <v>0.857</v>
      </c>
      <c r="F14" s="1">
        <v>0.796</v>
      </c>
      <c r="H14" s="128" t="str">
        <f t="shared" si="0"/>
        <v>Aluminium Conductor Steel Reinforced scrap, Lying at Outlet store Fazilka. Quantity in MT - 0.857</v>
      </c>
    </row>
    <row r="15" spans="1:8" ht="17.25" customHeight="1">
      <c r="A15" s="293" t="s">
        <v>192</v>
      </c>
      <c r="B15" s="294"/>
      <c r="C15" s="290" t="s">
        <v>420</v>
      </c>
      <c r="D15" s="290"/>
      <c r="E15" s="261">
        <v>3.765</v>
      </c>
      <c r="F15" s="1">
        <v>2.025</v>
      </c>
      <c r="G15" s="176"/>
      <c r="H15" s="128" t="str">
        <f t="shared" si="0"/>
        <v>Aluminium Conductor Steel Reinforced scrap, Lying at CS Bathinda (.095 MT intermingle). Quantity in MT - 3.765</v>
      </c>
    </row>
    <row r="16" spans="1:8" ht="17.25" customHeight="1">
      <c r="A16" s="293" t="s">
        <v>212</v>
      </c>
      <c r="B16" s="294"/>
      <c r="C16" s="328" t="s">
        <v>345</v>
      </c>
      <c r="D16" s="328"/>
      <c r="E16" s="237">
        <v>1.814</v>
      </c>
      <c r="F16" s="1">
        <v>0.822</v>
      </c>
      <c r="H16" s="128" t="str">
        <f t="shared" si="0"/>
        <v>Aluminium Conductor Steel Reinforced scrap, Lying at Outlet store Bhagta Bhai Ka. Quantity in MT - 1.814</v>
      </c>
    </row>
    <row r="17" spans="1:8" ht="17.25" customHeight="1">
      <c r="A17" s="293" t="s">
        <v>286</v>
      </c>
      <c r="B17" s="294"/>
      <c r="C17" s="290" t="s">
        <v>80</v>
      </c>
      <c r="D17" s="290"/>
      <c r="E17" s="261">
        <v>4.074</v>
      </c>
      <c r="F17" s="1" t="s">
        <v>408</v>
      </c>
      <c r="H17" s="128" t="str">
        <f t="shared" si="0"/>
        <v>Aluminium Conductor Steel Reinforced scrap, Lying at CS Sangrur. Quantity in MT - 4.074</v>
      </c>
    </row>
    <row r="18" spans="1:8" ht="17.25" customHeight="1">
      <c r="A18" s="293" t="s">
        <v>406</v>
      </c>
      <c r="B18" s="294"/>
      <c r="C18" s="290" t="s">
        <v>189</v>
      </c>
      <c r="D18" s="290"/>
      <c r="E18" s="261">
        <v>1.593</v>
      </c>
      <c r="F18" s="1" t="s">
        <v>408</v>
      </c>
      <c r="H18" s="128" t="str">
        <f t="shared" si="0"/>
        <v>Aluminium Conductor Steel Reinforced scrap, Lying at Outlet store Patran. Quantity in MT - 1.593</v>
      </c>
    </row>
    <row r="19" spans="1:8" ht="17.25" customHeight="1">
      <c r="A19" s="293" t="s">
        <v>407</v>
      </c>
      <c r="B19" s="294"/>
      <c r="C19" s="290" t="s">
        <v>190</v>
      </c>
      <c r="D19" s="290"/>
      <c r="E19" s="261">
        <v>1.55</v>
      </c>
      <c r="F19" s="1" t="s">
        <v>408</v>
      </c>
      <c r="H19" s="128" t="str">
        <f t="shared" si="0"/>
        <v>Aluminium Conductor Steel Reinforced scrap, Lying at Outlet store Barnala. Quantity in MT - 1.55</v>
      </c>
    </row>
    <row r="20" spans="1:8" ht="17.25" customHeight="1">
      <c r="A20" s="293" t="s">
        <v>415</v>
      </c>
      <c r="B20" s="294"/>
      <c r="C20" s="291" t="s">
        <v>412</v>
      </c>
      <c r="D20" s="332"/>
      <c r="E20" s="261">
        <v>27.403</v>
      </c>
      <c r="F20" s="1" t="s">
        <v>408</v>
      </c>
      <c r="H20" s="128" t="str">
        <f t="shared" si="0"/>
        <v>Aluminium Conductor Steel Reinforced scrap, Lying at S &amp; T Store Bathinda ( .465 MT intermingle ). Quantity in MT - 27.403</v>
      </c>
    </row>
    <row r="21" spans="1:8" ht="17.25" customHeight="1">
      <c r="A21" s="293" t="s">
        <v>416</v>
      </c>
      <c r="B21" s="294"/>
      <c r="C21" s="290" t="s">
        <v>96</v>
      </c>
      <c r="D21" s="291"/>
      <c r="E21" s="261">
        <v>1.875</v>
      </c>
      <c r="F21" s="1" t="s">
        <v>408</v>
      </c>
      <c r="H21" s="128" t="str">
        <f t="shared" si="0"/>
        <v>Aluminium Conductor Steel Reinforced scrap, Lying at CS Malout. Quantity in MT - 1.875</v>
      </c>
    </row>
    <row r="22" spans="1:8" ht="17.25" customHeight="1">
      <c r="A22" s="293" t="s">
        <v>417</v>
      </c>
      <c r="B22" s="294"/>
      <c r="C22" s="290" t="s">
        <v>423</v>
      </c>
      <c r="D22" s="291"/>
      <c r="E22" s="261">
        <v>10.615</v>
      </c>
      <c r="F22" s="176" t="s">
        <v>408</v>
      </c>
      <c r="G22" s="1">
        <v>10.611</v>
      </c>
      <c r="H22" s="128" t="str">
        <f t="shared" si="0"/>
        <v>Aluminium Conductor Steel Reinforced scrap, Lying at CS Ferozepur( .004 MT intermingle ). Quantity in MT - 10.615</v>
      </c>
    </row>
    <row r="23" spans="1:8" ht="17.25" customHeight="1" thickBot="1">
      <c r="A23" s="293" t="s">
        <v>435</v>
      </c>
      <c r="B23" s="294"/>
      <c r="C23" s="290" t="s">
        <v>436</v>
      </c>
      <c r="D23" s="291"/>
      <c r="E23" s="261">
        <v>4.645</v>
      </c>
      <c r="F23" s="176" t="s">
        <v>408</v>
      </c>
      <c r="H23" s="129" t="str">
        <f t="shared" si="0"/>
        <v>Aluminium Conductor Steel Reinforced scrap, Lying at CS Patiala (.025 MT intermingle ). Quantity in MT - 4.645</v>
      </c>
    </row>
    <row r="24" spans="1:5" ht="17.25" customHeight="1" thickBot="1">
      <c r="A24" s="333" t="s">
        <v>115</v>
      </c>
      <c r="B24" s="334"/>
      <c r="C24" s="331"/>
      <c r="D24" s="331"/>
      <c r="E24" s="180">
        <f>SUM(E6:E23)</f>
        <v>100.19799999999998</v>
      </c>
    </row>
    <row r="25" spans="1:5" ht="17.25" customHeight="1">
      <c r="A25" s="178"/>
      <c r="B25" s="178"/>
      <c r="C25" s="179"/>
      <c r="D25" s="329"/>
      <c r="E25" s="330"/>
    </row>
    <row r="26" spans="1:5" ht="17.25" customHeight="1">
      <c r="A26" s="340" t="s">
        <v>12</v>
      </c>
      <c r="B26" s="341"/>
      <c r="C26" s="341"/>
      <c r="D26" s="341"/>
      <c r="E26" s="80" t="s">
        <v>7</v>
      </c>
    </row>
    <row r="27" spans="1:8" ht="17.25" customHeight="1">
      <c r="A27" s="293" t="s">
        <v>74</v>
      </c>
      <c r="B27" s="294"/>
      <c r="C27" s="274" t="s">
        <v>134</v>
      </c>
      <c r="D27" s="274"/>
      <c r="E27" s="92">
        <v>18.907</v>
      </c>
      <c r="H27" s="128" t="str">
        <f>CONCATENATE("Damaged Distribution Transformer's HT/LT Aluminium coils scrap with insulation, Lying at ",C27,". Quantity in MT - ",E27,)</f>
        <v>Damaged Distribution Transformer's HT/LT Aluminium coils scrap with insulation, Lying at TRY Bhagta Bhai Ka. Quantity in MT - 18.907</v>
      </c>
    </row>
    <row r="28" spans="1:8" ht="17.25" customHeight="1">
      <c r="A28" s="293" t="s">
        <v>124</v>
      </c>
      <c r="B28" s="294"/>
      <c r="C28" s="274" t="s">
        <v>28</v>
      </c>
      <c r="D28" s="274"/>
      <c r="E28" s="92">
        <v>8.316</v>
      </c>
      <c r="H28" s="128" t="str">
        <f aca="true" t="shared" si="1" ref="H28:H39">CONCATENATE("Damaged Distribution Transformer's HT/LT Aluminium coils scrap with insulation, Lying at ",C28,". Quantity in MT - ",E28,)</f>
        <v>Damaged Distribution Transformer's HT/LT Aluminium coils scrap with insulation, Lying at TRY Malerkotla. Quantity in MT - 8.316</v>
      </c>
    </row>
    <row r="29" spans="1:8" ht="17.25" customHeight="1">
      <c r="A29" s="293" t="s">
        <v>125</v>
      </c>
      <c r="B29" s="294"/>
      <c r="C29" s="274" t="s">
        <v>138</v>
      </c>
      <c r="D29" s="274"/>
      <c r="E29" s="92">
        <v>14.066</v>
      </c>
      <c r="H29" s="128" t="str">
        <f t="shared" si="1"/>
        <v>Damaged Distribution Transformer's HT/LT Aluminium coils scrap with insulation, Lying at TRY Patran. Quantity in MT - 14.066</v>
      </c>
    </row>
    <row r="30" spans="1:8" ht="17.25" customHeight="1">
      <c r="A30" s="293" t="s">
        <v>213</v>
      </c>
      <c r="B30" s="294"/>
      <c r="C30" s="274" t="s">
        <v>261</v>
      </c>
      <c r="D30" s="274"/>
      <c r="E30" s="92">
        <v>10.362</v>
      </c>
      <c r="H30" s="128" t="str">
        <f t="shared" si="1"/>
        <v>Damaged Distribution Transformer's HT/LT Aluminium coils scrap with insulation, Lying at TRY Kotkapura. Quantity in MT - 10.362</v>
      </c>
    </row>
    <row r="31" spans="1:8" ht="17.25" customHeight="1">
      <c r="A31" s="293" t="s">
        <v>164</v>
      </c>
      <c r="B31" s="294"/>
      <c r="C31" s="274" t="s">
        <v>261</v>
      </c>
      <c r="D31" s="274"/>
      <c r="E31" s="92">
        <v>10</v>
      </c>
      <c r="H31" s="128" t="str">
        <f t="shared" si="1"/>
        <v>Damaged Distribution Transformer's HT/LT Aluminium coils scrap with insulation, Lying at TRY Kotkapura. Quantity in MT - 10</v>
      </c>
    </row>
    <row r="32" spans="1:8" ht="17.25" customHeight="1">
      <c r="A32" s="293" t="s">
        <v>195</v>
      </c>
      <c r="B32" s="294"/>
      <c r="C32" s="274" t="s">
        <v>261</v>
      </c>
      <c r="D32" s="274"/>
      <c r="E32" s="92">
        <v>10</v>
      </c>
      <c r="H32" s="128" t="str">
        <f t="shared" si="1"/>
        <v>Damaged Distribution Transformer's HT/LT Aluminium coils scrap with insulation, Lying at TRY Kotkapura. Quantity in MT - 10</v>
      </c>
    </row>
    <row r="33" spans="1:8" ht="17.25" customHeight="1">
      <c r="A33" s="293" t="s">
        <v>262</v>
      </c>
      <c r="B33" s="294"/>
      <c r="C33" s="290" t="s">
        <v>171</v>
      </c>
      <c r="D33" s="290"/>
      <c r="E33" s="162">
        <v>14.532</v>
      </c>
      <c r="F33" s="1">
        <v>3.817</v>
      </c>
      <c r="H33" s="128" t="str">
        <f t="shared" si="1"/>
        <v>Damaged Distribution Transformer's HT/LT Aluminium coils scrap with insulation, Lying at TRY Malout. Quantity in MT - 14.532</v>
      </c>
    </row>
    <row r="34" spans="1:8" ht="17.25" customHeight="1">
      <c r="A34" s="293" t="s">
        <v>172</v>
      </c>
      <c r="B34" s="294"/>
      <c r="C34" s="274" t="s">
        <v>173</v>
      </c>
      <c r="D34" s="274"/>
      <c r="E34" s="92">
        <v>28.947</v>
      </c>
      <c r="H34" s="128" t="str">
        <f t="shared" si="1"/>
        <v>Damaged Distribution Transformer's HT/LT Aluminium coils scrap with insulation, Lying at TRY Mansa. Quantity in MT - 28.947</v>
      </c>
    </row>
    <row r="35" spans="1:8" ht="17.25" customHeight="1">
      <c r="A35" s="293" t="s">
        <v>264</v>
      </c>
      <c r="B35" s="294"/>
      <c r="C35" s="274" t="s">
        <v>231</v>
      </c>
      <c r="D35" s="274"/>
      <c r="E35" s="92">
        <v>4.858</v>
      </c>
      <c r="H35" s="128" t="str">
        <f t="shared" si="1"/>
        <v>Damaged Distribution Transformer's HT/LT Aluminium coils scrap with insulation, Lying at TRY Moga. Quantity in MT - 4.858</v>
      </c>
    </row>
    <row r="36" spans="1:8" ht="17.25" customHeight="1">
      <c r="A36" s="293" t="s">
        <v>280</v>
      </c>
      <c r="B36" s="294"/>
      <c r="C36" s="290" t="s">
        <v>137</v>
      </c>
      <c r="D36" s="290"/>
      <c r="E36" s="162">
        <v>24.387</v>
      </c>
      <c r="F36" s="1">
        <v>12.273</v>
      </c>
      <c r="H36" s="128" t="str">
        <f t="shared" si="1"/>
        <v>Damaged Distribution Transformer's HT/LT Aluminium coils scrap with insulation, Lying at TRY Sangrur. Quantity in MT - 24.387</v>
      </c>
    </row>
    <row r="37" spans="1:8" ht="17.25" customHeight="1">
      <c r="A37" s="293" t="s">
        <v>281</v>
      </c>
      <c r="B37" s="294"/>
      <c r="C37" s="274" t="s">
        <v>145</v>
      </c>
      <c r="D37" s="274"/>
      <c r="E37" s="92">
        <v>3.352</v>
      </c>
      <c r="H37" s="128" t="str">
        <f t="shared" si="1"/>
        <v>Damaged Distribution Transformer's HT/LT Aluminium coils scrap with insulation, Lying at TRY Ropar. Quantity in MT - 3.352</v>
      </c>
    </row>
    <row r="38" spans="1:8" ht="17.25" customHeight="1">
      <c r="A38" s="293" t="s">
        <v>380</v>
      </c>
      <c r="B38" s="294"/>
      <c r="C38" s="274" t="s">
        <v>36</v>
      </c>
      <c r="D38" s="274"/>
      <c r="E38" s="92">
        <v>6.977</v>
      </c>
      <c r="H38" s="128" t="str">
        <f t="shared" si="1"/>
        <v>Damaged Distribution Transformer's HT/LT Aluminium coils scrap with insulation, Lying at TRY Bathinda. Quantity in MT - 6.977</v>
      </c>
    </row>
    <row r="39" spans="1:8" ht="17.25" customHeight="1" thickBot="1">
      <c r="A39" s="293" t="s">
        <v>282</v>
      </c>
      <c r="B39" s="294"/>
      <c r="C39" s="290" t="s">
        <v>122</v>
      </c>
      <c r="D39" s="290"/>
      <c r="E39" s="162">
        <v>12.221</v>
      </c>
      <c r="F39" s="1">
        <v>6.075</v>
      </c>
      <c r="H39" s="128" t="str">
        <f t="shared" si="1"/>
        <v>Damaged Distribution Transformer's HT/LT Aluminium coils scrap with insulation, Lying at TRY Patiala. Quantity in MT - 12.221</v>
      </c>
    </row>
    <row r="40" spans="1:5" ht="17.25" customHeight="1" thickBot="1">
      <c r="A40" s="338" t="s">
        <v>115</v>
      </c>
      <c r="B40" s="339"/>
      <c r="C40" s="324"/>
      <c r="D40" s="325"/>
      <c r="E40" s="180">
        <f>SUM(E27:E39)</f>
        <v>166.925</v>
      </c>
    </row>
    <row r="41" spans="1:8" ht="17.25" customHeight="1">
      <c r="A41" s="320"/>
      <c r="B41" s="320"/>
      <c r="C41" s="320"/>
      <c r="D41" s="320"/>
      <c r="E41" s="321"/>
      <c r="H41" s="155"/>
    </row>
    <row r="42" spans="1:6" ht="17.25" customHeight="1">
      <c r="A42" s="322" t="s">
        <v>109</v>
      </c>
      <c r="B42" s="322"/>
      <c r="C42" s="322"/>
      <c r="D42" s="322"/>
      <c r="E42" s="323"/>
      <c r="F42" s="1" t="e">
        <f>B60+B74+B95+B107+B126+B140+#REF!+#REF!+#REF!+#REF!+B157+B172</f>
        <v>#REF!</v>
      </c>
    </row>
    <row r="43" spans="1:5" ht="17.25" customHeight="1">
      <c r="A43" s="326" t="s">
        <v>452</v>
      </c>
      <c r="B43" s="327"/>
      <c r="C43" s="327"/>
      <c r="D43" s="327"/>
      <c r="E43" s="327"/>
    </row>
    <row r="44" spans="1:5" ht="17.25" customHeight="1">
      <c r="A44" s="121"/>
      <c r="B44" s="122"/>
      <c r="C44" s="122"/>
      <c r="D44" s="122"/>
      <c r="E44" s="122"/>
    </row>
    <row r="45" spans="1:5" ht="29.25" customHeight="1">
      <c r="A45" s="293" t="s">
        <v>256</v>
      </c>
      <c r="B45" s="295"/>
      <c r="C45" s="295"/>
      <c r="D45" s="295"/>
      <c r="E45" s="294"/>
    </row>
    <row r="46" spans="1:5" ht="24.75" customHeight="1">
      <c r="A46" s="27" t="s">
        <v>221</v>
      </c>
      <c r="B46" s="27" t="s">
        <v>222</v>
      </c>
      <c r="C46" s="27" t="s">
        <v>223</v>
      </c>
      <c r="D46" s="27" t="s">
        <v>224</v>
      </c>
      <c r="E46" s="116" t="s">
        <v>225</v>
      </c>
    </row>
    <row r="47" spans="1:6" ht="17.25" customHeight="1">
      <c r="A47" s="296" t="s">
        <v>226</v>
      </c>
      <c r="B47" s="297"/>
      <c r="C47" s="298"/>
      <c r="D47" s="90"/>
      <c r="E47" s="109"/>
      <c r="F47" s="1">
        <f>B48+B49+B50+B51+B52+B54+B55+B56+B57+B58</f>
        <v>249</v>
      </c>
    </row>
    <row r="48" spans="1:5" ht="17.25" customHeight="1">
      <c r="A48" s="157">
        <v>90</v>
      </c>
      <c r="B48" s="158">
        <v>27</v>
      </c>
      <c r="C48" s="158" t="s">
        <v>227</v>
      </c>
      <c r="D48" s="157" t="s">
        <v>228</v>
      </c>
      <c r="E48" s="158">
        <v>1301</v>
      </c>
    </row>
    <row r="49" spans="1:5" ht="17.25" customHeight="1">
      <c r="A49" s="157">
        <v>91</v>
      </c>
      <c r="B49" s="158">
        <v>25</v>
      </c>
      <c r="C49" s="158" t="s">
        <v>227</v>
      </c>
      <c r="D49" s="157" t="s">
        <v>229</v>
      </c>
      <c r="E49" s="158">
        <v>1214</v>
      </c>
    </row>
    <row r="50" spans="1:5" ht="17.25" customHeight="1">
      <c r="A50" s="157">
        <v>92</v>
      </c>
      <c r="B50" s="158">
        <v>14</v>
      </c>
      <c r="C50" s="158" t="s">
        <v>227</v>
      </c>
      <c r="D50" s="157" t="s">
        <v>230</v>
      </c>
      <c r="E50" s="158">
        <v>678</v>
      </c>
    </row>
    <row r="51" spans="1:5" ht="17.25" customHeight="1">
      <c r="A51" s="157">
        <v>93</v>
      </c>
      <c r="B51" s="158">
        <v>25</v>
      </c>
      <c r="C51" s="158" t="s">
        <v>227</v>
      </c>
      <c r="D51" s="157" t="s">
        <v>236</v>
      </c>
      <c r="E51" s="158">
        <v>1201</v>
      </c>
    </row>
    <row r="52" spans="1:5" ht="17.25" customHeight="1">
      <c r="A52" s="157">
        <v>94</v>
      </c>
      <c r="B52" s="158">
        <v>18</v>
      </c>
      <c r="C52" s="158" t="s">
        <v>227</v>
      </c>
      <c r="D52" s="157" t="s">
        <v>237</v>
      </c>
      <c r="E52" s="158">
        <v>835</v>
      </c>
    </row>
    <row r="53" spans="1:5" ht="91.5" customHeight="1">
      <c r="A53" s="157">
        <v>95</v>
      </c>
      <c r="B53" s="158">
        <v>20</v>
      </c>
      <c r="C53" s="185" t="s">
        <v>254</v>
      </c>
      <c r="D53" s="170" t="s">
        <v>271</v>
      </c>
      <c r="E53" s="169">
        <v>4276</v>
      </c>
    </row>
    <row r="54" spans="1:5" ht="17.25" customHeight="1">
      <c r="A54" s="157">
        <v>96</v>
      </c>
      <c r="B54" s="158">
        <v>27</v>
      </c>
      <c r="C54" s="159" t="s">
        <v>227</v>
      </c>
      <c r="D54" s="157" t="s">
        <v>272</v>
      </c>
      <c r="E54" s="169">
        <v>1303</v>
      </c>
    </row>
    <row r="55" spans="1:5" ht="17.25" customHeight="1">
      <c r="A55" s="157">
        <v>97</v>
      </c>
      <c r="B55" s="158">
        <v>26</v>
      </c>
      <c r="C55" s="159" t="s">
        <v>227</v>
      </c>
      <c r="D55" s="157" t="s">
        <v>273</v>
      </c>
      <c r="E55" s="169">
        <v>1209</v>
      </c>
    </row>
    <row r="56" spans="1:5" ht="17.25" customHeight="1">
      <c r="A56" s="157">
        <v>98</v>
      </c>
      <c r="B56" s="158">
        <v>27</v>
      </c>
      <c r="C56" s="159" t="s">
        <v>235</v>
      </c>
      <c r="D56" s="170" t="s">
        <v>272</v>
      </c>
      <c r="E56" s="158">
        <v>1286</v>
      </c>
    </row>
    <row r="57" spans="1:5" ht="17.25" customHeight="1">
      <c r="A57" s="157">
        <v>99</v>
      </c>
      <c r="B57" s="158">
        <v>30</v>
      </c>
      <c r="C57" s="159" t="s">
        <v>235</v>
      </c>
      <c r="D57" s="170" t="s">
        <v>274</v>
      </c>
      <c r="E57" s="158">
        <v>1365</v>
      </c>
    </row>
    <row r="58" spans="1:5" ht="17.25" customHeight="1">
      <c r="A58" s="157">
        <v>100</v>
      </c>
      <c r="B58" s="158">
        <v>30</v>
      </c>
      <c r="C58" s="159" t="s">
        <v>235</v>
      </c>
      <c r="D58" s="170" t="s">
        <v>274</v>
      </c>
      <c r="E58" s="158">
        <v>1374</v>
      </c>
    </row>
    <row r="59" spans="1:5" ht="17.25" customHeight="1">
      <c r="A59" s="117"/>
      <c r="B59" s="118">
        <f>SUM(B48:B58)</f>
        <v>269</v>
      </c>
      <c r="C59" s="118">
        <f>B59-20</f>
        <v>249</v>
      </c>
      <c r="D59" s="118"/>
      <c r="E59" s="118">
        <f>SUM(E48:E58)</f>
        <v>16042</v>
      </c>
    </row>
    <row r="60" spans="1:5" ht="17.25" customHeight="1">
      <c r="A60" s="90" t="s">
        <v>14</v>
      </c>
      <c r="B60" s="118">
        <f>B59</f>
        <v>269</v>
      </c>
      <c r="C60" s="118"/>
      <c r="D60" s="118"/>
      <c r="E60" s="118">
        <f>E59</f>
        <v>16042</v>
      </c>
    </row>
    <row r="61" spans="1:5" ht="17.25" customHeight="1">
      <c r="A61" s="109"/>
      <c r="B61" s="119"/>
      <c r="C61" s="119"/>
      <c r="D61" s="119"/>
      <c r="E61" s="119"/>
    </row>
    <row r="62" spans="1:5" ht="27.75" customHeight="1">
      <c r="A62" s="293" t="s">
        <v>348</v>
      </c>
      <c r="B62" s="295"/>
      <c r="C62" s="295"/>
      <c r="D62" s="295"/>
      <c r="E62" s="295"/>
    </row>
    <row r="63" spans="1:5" ht="24.75" customHeight="1">
      <c r="A63" s="27" t="s">
        <v>221</v>
      </c>
      <c r="B63" s="27" t="s">
        <v>222</v>
      </c>
      <c r="C63" s="27" t="s">
        <v>223</v>
      </c>
      <c r="D63" s="27" t="s">
        <v>224</v>
      </c>
      <c r="E63" s="116" t="s">
        <v>225</v>
      </c>
    </row>
    <row r="64" spans="1:5" ht="17.25" customHeight="1">
      <c r="A64" s="296" t="s">
        <v>233</v>
      </c>
      <c r="B64" s="297"/>
      <c r="C64" s="298"/>
      <c r="D64" s="27"/>
      <c r="E64" s="116"/>
    </row>
    <row r="65" spans="1:5" ht="17.25" customHeight="1">
      <c r="A65" s="154" t="s">
        <v>300</v>
      </c>
      <c r="B65" s="149">
        <v>7</v>
      </c>
      <c r="C65" s="149" t="s">
        <v>238</v>
      </c>
      <c r="D65" s="149" t="s">
        <v>301</v>
      </c>
      <c r="E65" s="149">
        <v>780</v>
      </c>
    </row>
    <row r="66" spans="1:5" ht="17.25" customHeight="1">
      <c r="A66" s="156"/>
      <c r="B66" s="120">
        <f>SUM(B65:B65)</f>
        <v>7</v>
      </c>
      <c r="C66" s="120"/>
      <c r="D66" s="120"/>
      <c r="E66" s="120">
        <f>SUM(E65:E65)</f>
        <v>780</v>
      </c>
    </row>
    <row r="67" spans="1:5" ht="17.25" customHeight="1">
      <c r="A67" s="296" t="s">
        <v>226</v>
      </c>
      <c r="B67" s="297"/>
      <c r="C67" s="298"/>
      <c r="D67" s="39"/>
      <c r="E67" s="39"/>
    </row>
    <row r="68" spans="1:5" ht="17.25" customHeight="1">
      <c r="A68" s="154" t="s">
        <v>302</v>
      </c>
      <c r="B68" s="149">
        <v>4</v>
      </c>
      <c r="C68" s="153" t="s">
        <v>245</v>
      </c>
      <c r="D68" s="149" t="s">
        <v>303</v>
      </c>
      <c r="E68" s="149">
        <v>466</v>
      </c>
    </row>
    <row r="69" spans="1:5" ht="17.25" customHeight="1">
      <c r="A69" s="154" t="s">
        <v>302</v>
      </c>
      <c r="B69" s="149">
        <v>1</v>
      </c>
      <c r="C69" s="153" t="s">
        <v>254</v>
      </c>
      <c r="D69" s="149" t="s">
        <v>278</v>
      </c>
      <c r="E69" s="149">
        <v>220</v>
      </c>
    </row>
    <row r="70" spans="1:5" ht="17.25" customHeight="1">
      <c r="A70" s="154" t="s">
        <v>302</v>
      </c>
      <c r="B70" s="149">
        <v>1</v>
      </c>
      <c r="C70" s="153" t="s">
        <v>258</v>
      </c>
      <c r="D70" s="149" t="s">
        <v>304</v>
      </c>
      <c r="E70" s="149">
        <v>295</v>
      </c>
    </row>
    <row r="71" spans="1:5" ht="17.25" customHeight="1">
      <c r="A71" s="154" t="s">
        <v>305</v>
      </c>
      <c r="B71" s="149">
        <v>1</v>
      </c>
      <c r="C71" s="149" t="s">
        <v>238</v>
      </c>
      <c r="D71" s="46" t="s">
        <v>259</v>
      </c>
      <c r="E71" s="149">
        <v>87</v>
      </c>
    </row>
    <row r="72" spans="1:5" ht="17.25" customHeight="1">
      <c r="A72" s="154" t="s">
        <v>306</v>
      </c>
      <c r="B72" s="149">
        <v>1</v>
      </c>
      <c r="C72" s="153" t="s">
        <v>245</v>
      </c>
      <c r="D72" s="46" t="s">
        <v>259</v>
      </c>
      <c r="E72" s="149">
        <v>115</v>
      </c>
    </row>
    <row r="73" spans="1:5" ht="17.25" customHeight="1">
      <c r="A73" s="27"/>
      <c r="B73" s="90">
        <f>SUM(B68:B72)</f>
        <v>8</v>
      </c>
      <c r="C73" s="90"/>
      <c r="D73" s="90"/>
      <c r="E73" s="90">
        <f>SUM(E68:E72)</f>
        <v>1183</v>
      </c>
    </row>
    <row r="74" spans="1:5" ht="17.25" customHeight="1">
      <c r="A74" s="90" t="s">
        <v>14</v>
      </c>
      <c r="B74" s="118">
        <f>B66+B73</f>
        <v>15</v>
      </c>
      <c r="C74" s="118"/>
      <c r="D74" s="118"/>
      <c r="E74" s="118">
        <f>E66+E73</f>
        <v>1963</v>
      </c>
    </row>
    <row r="75" spans="1:5" ht="17.25" customHeight="1">
      <c r="A75" s="109"/>
      <c r="B75" s="119"/>
      <c r="C75" s="125"/>
      <c r="D75" s="118"/>
      <c r="E75" s="118"/>
    </row>
    <row r="76" spans="1:5" ht="27" customHeight="1">
      <c r="A76" s="293" t="s">
        <v>349</v>
      </c>
      <c r="B76" s="295"/>
      <c r="C76" s="295"/>
      <c r="D76" s="295"/>
      <c r="E76" s="295"/>
    </row>
    <row r="77" spans="1:5" ht="21" customHeight="1">
      <c r="A77" s="27" t="s">
        <v>221</v>
      </c>
      <c r="B77" s="27" t="s">
        <v>222</v>
      </c>
      <c r="C77" s="27" t="s">
        <v>223</v>
      </c>
      <c r="D77" s="27" t="s">
        <v>224</v>
      </c>
      <c r="E77" s="116" t="s">
        <v>225</v>
      </c>
    </row>
    <row r="78" spans="1:5" ht="17.25" customHeight="1">
      <c r="A78" s="296" t="s">
        <v>233</v>
      </c>
      <c r="B78" s="297"/>
      <c r="C78" s="298"/>
      <c r="D78" s="27"/>
      <c r="E78" s="116"/>
    </row>
    <row r="79" spans="1:5" ht="17.25" customHeight="1">
      <c r="A79" s="87" t="s">
        <v>319</v>
      </c>
      <c r="B79" s="124">
        <v>11</v>
      </c>
      <c r="C79" s="124" t="s">
        <v>234</v>
      </c>
      <c r="D79" s="124" t="s">
        <v>307</v>
      </c>
      <c r="E79" s="151">
        <v>654</v>
      </c>
    </row>
    <row r="80" spans="1:5" ht="17.25" customHeight="1">
      <c r="A80" s="46" t="s">
        <v>320</v>
      </c>
      <c r="B80" s="150">
        <v>11</v>
      </c>
      <c r="C80" s="150" t="s">
        <v>235</v>
      </c>
      <c r="D80" s="150" t="s">
        <v>308</v>
      </c>
      <c r="E80" s="150">
        <v>849</v>
      </c>
    </row>
    <row r="81" spans="1:5" ht="17.25" customHeight="1">
      <c r="A81" s="46" t="s">
        <v>321</v>
      </c>
      <c r="B81" s="150">
        <v>2</v>
      </c>
      <c r="C81" s="150" t="s">
        <v>238</v>
      </c>
      <c r="D81" s="150" t="s">
        <v>309</v>
      </c>
      <c r="E81" s="150">
        <v>202</v>
      </c>
    </row>
    <row r="82" spans="1:5" ht="17.25" customHeight="1">
      <c r="A82" s="156"/>
      <c r="B82" s="120">
        <f>SUM(B79:B81)</f>
        <v>24</v>
      </c>
      <c r="C82" s="120"/>
      <c r="D82" s="120"/>
      <c r="E82" s="120">
        <f>SUM(E79:E81)</f>
        <v>1705</v>
      </c>
    </row>
    <row r="83" spans="1:5" ht="17.25" customHeight="1">
      <c r="A83" s="296" t="s">
        <v>226</v>
      </c>
      <c r="B83" s="297"/>
      <c r="C83" s="298"/>
      <c r="D83" s="39"/>
      <c r="E83" s="39"/>
    </row>
    <row r="84" spans="1:5" ht="17.25" customHeight="1">
      <c r="A84" s="87" t="s">
        <v>322</v>
      </c>
      <c r="B84" s="124">
        <v>9</v>
      </c>
      <c r="C84" s="87" t="s">
        <v>234</v>
      </c>
      <c r="D84" s="124" t="s">
        <v>310</v>
      </c>
      <c r="E84" s="87">
        <v>460</v>
      </c>
    </row>
    <row r="85" spans="1:5" ht="17.25" customHeight="1">
      <c r="A85" s="46" t="s">
        <v>323</v>
      </c>
      <c r="B85" s="46">
        <v>2</v>
      </c>
      <c r="C85" s="182" t="s">
        <v>245</v>
      </c>
      <c r="D85" s="46" t="s">
        <v>311</v>
      </c>
      <c r="E85" s="46">
        <v>243</v>
      </c>
    </row>
    <row r="86" spans="1:5" ht="17.25" customHeight="1">
      <c r="A86" s="46" t="s">
        <v>324</v>
      </c>
      <c r="B86" s="46">
        <v>3</v>
      </c>
      <c r="C86" s="182" t="s">
        <v>254</v>
      </c>
      <c r="D86" s="46" t="s">
        <v>312</v>
      </c>
      <c r="E86" s="46">
        <v>540</v>
      </c>
    </row>
    <row r="87" spans="1:5" ht="30" customHeight="1">
      <c r="A87" s="46" t="s">
        <v>325</v>
      </c>
      <c r="B87" s="46">
        <v>1</v>
      </c>
      <c r="C87" s="182" t="s">
        <v>315</v>
      </c>
      <c r="D87" s="46" t="s">
        <v>316</v>
      </c>
      <c r="E87" s="46">
        <v>210</v>
      </c>
    </row>
    <row r="88" spans="1:5" ht="17.25" customHeight="1">
      <c r="A88" s="46" t="s">
        <v>326</v>
      </c>
      <c r="B88" s="46">
        <v>1</v>
      </c>
      <c r="C88" s="182" t="s">
        <v>258</v>
      </c>
      <c r="D88" s="46" t="s">
        <v>317</v>
      </c>
      <c r="E88" s="46">
        <v>280</v>
      </c>
    </row>
    <row r="89" spans="1:5" ht="17.25" customHeight="1">
      <c r="A89" s="46" t="s">
        <v>327</v>
      </c>
      <c r="B89" s="46">
        <v>1</v>
      </c>
      <c r="C89" s="182" t="s">
        <v>277</v>
      </c>
      <c r="D89" s="46" t="s">
        <v>313</v>
      </c>
      <c r="E89" s="46">
        <v>410</v>
      </c>
    </row>
    <row r="90" spans="1:5" ht="17.25" customHeight="1">
      <c r="A90" s="183" t="s">
        <v>328</v>
      </c>
      <c r="B90" s="46">
        <v>1</v>
      </c>
      <c r="C90" s="46" t="s">
        <v>235</v>
      </c>
      <c r="D90" s="46" t="s">
        <v>318</v>
      </c>
      <c r="E90" s="46">
        <v>58</v>
      </c>
    </row>
    <row r="91" spans="1:5" ht="17.25" customHeight="1">
      <c r="A91" s="168"/>
      <c r="B91" s="167">
        <f>SUM(B84:B90)</f>
        <v>18</v>
      </c>
      <c r="C91" s="167"/>
      <c r="D91" s="167"/>
      <c r="E91" s="167">
        <f>SUM(E84:E90)</f>
        <v>2201</v>
      </c>
    </row>
    <row r="92" spans="1:5" ht="17.25" customHeight="1">
      <c r="A92" s="296" t="s">
        <v>239</v>
      </c>
      <c r="B92" s="297"/>
      <c r="C92" s="298"/>
      <c r="D92" s="90"/>
      <c r="E92" s="90"/>
    </row>
    <row r="93" spans="1:5" ht="17.25" customHeight="1">
      <c r="A93" s="46" t="s">
        <v>329</v>
      </c>
      <c r="B93" s="74">
        <v>2</v>
      </c>
      <c r="C93" s="74" t="s">
        <v>235</v>
      </c>
      <c r="D93" s="74" t="s">
        <v>314</v>
      </c>
      <c r="E93" s="46">
        <v>110</v>
      </c>
    </row>
    <row r="94" spans="1:5" ht="17.25" customHeight="1">
      <c r="A94" s="27"/>
      <c r="B94" s="90">
        <f>B93</f>
        <v>2</v>
      </c>
      <c r="C94" s="90"/>
      <c r="D94" s="90"/>
      <c r="E94" s="90">
        <f>E93</f>
        <v>110</v>
      </c>
    </row>
    <row r="95" spans="1:5" ht="17.25" customHeight="1">
      <c r="A95" s="90" t="s">
        <v>14</v>
      </c>
      <c r="B95" s="118">
        <f>B82+B91+B94</f>
        <v>44</v>
      </c>
      <c r="C95" s="118"/>
      <c r="D95" s="118"/>
      <c r="E95" s="118">
        <f>E82+E91+E94</f>
        <v>4016</v>
      </c>
    </row>
    <row r="96" spans="1:5" ht="17.25" customHeight="1">
      <c r="A96" s="109"/>
      <c r="B96" s="119"/>
      <c r="C96" s="125"/>
      <c r="D96" s="118"/>
      <c r="E96" s="118"/>
    </row>
    <row r="97" spans="1:5" ht="33.75" customHeight="1">
      <c r="A97" s="293" t="s">
        <v>350</v>
      </c>
      <c r="B97" s="295"/>
      <c r="C97" s="295"/>
      <c r="D97" s="295"/>
      <c r="E97" s="295"/>
    </row>
    <row r="98" spans="1:5" ht="23.25" customHeight="1">
      <c r="A98" s="27" t="s">
        <v>221</v>
      </c>
      <c r="B98" s="27" t="s">
        <v>222</v>
      </c>
      <c r="C98" s="27" t="s">
        <v>223</v>
      </c>
      <c r="D98" s="27" t="s">
        <v>224</v>
      </c>
      <c r="E98" s="116" t="s">
        <v>225</v>
      </c>
    </row>
    <row r="99" spans="1:5" ht="17.25" customHeight="1">
      <c r="A99" s="296" t="s">
        <v>233</v>
      </c>
      <c r="B99" s="297"/>
      <c r="C99" s="298"/>
      <c r="D99" s="27"/>
      <c r="E99" s="116"/>
    </row>
    <row r="100" spans="1:5" ht="17.25" customHeight="1">
      <c r="A100" s="51">
        <v>756</v>
      </c>
      <c r="B100" s="51">
        <v>3</v>
      </c>
      <c r="C100" s="51" t="s">
        <v>235</v>
      </c>
      <c r="D100" s="51" t="s">
        <v>332</v>
      </c>
      <c r="E100" s="51">
        <v>226</v>
      </c>
    </row>
    <row r="101" spans="1:5" ht="17.25" customHeight="1">
      <c r="A101" s="51">
        <v>757</v>
      </c>
      <c r="B101" s="51">
        <v>10</v>
      </c>
      <c r="C101" s="51" t="s">
        <v>238</v>
      </c>
      <c r="D101" s="51" t="s">
        <v>333</v>
      </c>
      <c r="E101" s="51">
        <v>1056</v>
      </c>
    </row>
    <row r="102" spans="1:5" ht="17.25" customHeight="1">
      <c r="A102" s="156"/>
      <c r="B102" s="120">
        <f>SUM(B100:B101)</f>
        <v>13</v>
      </c>
      <c r="C102" s="120"/>
      <c r="D102" s="120"/>
      <c r="E102" s="120">
        <f>SUM(E100:E101)</f>
        <v>1282</v>
      </c>
    </row>
    <row r="103" spans="1:5" ht="17.25" customHeight="1">
      <c r="A103" s="296" t="s">
        <v>226</v>
      </c>
      <c r="B103" s="297"/>
      <c r="C103" s="298"/>
      <c r="D103" s="39"/>
      <c r="E103" s="39"/>
    </row>
    <row r="104" spans="1:5" ht="17.25" customHeight="1">
      <c r="A104" s="51">
        <v>758</v>
      </c>
      <c r="B104" s="51">
        <v>8</v>
      </c>
      <c r="C104" s="51" t="s">
        <v>235</v>
      </c>
      <c r="D104" s="51" t="s">
        <v>334</v>
      </c>
      <c r="E104" s="51">
        <v>586</v>
      </c>
    </row>
    <row r="105" spans="1:5" ht="17.25" customHeight="1">
      <c r="A105" s="51">
        <v>759</v>
      </c>
      <c r="B105" s="51">
        <v>1</v>
      </c>
      <c r="C105" s="51" t="s">
        <v>238</v>
      </c>
      <c r="D105" s="51" t="s">
        <v>251</v>
      </c>
      <c r="E105" s="51">
        <v>82</v>
      </c>
    </row>
    <row r="106" spans="1:5" ht="17.25" customHeight="1">
      <c r="A106" s="27"/>
      <c r="B106" s="90">
        <f>SUM(B104:B105)</f>
        <v>9</v>
      </c>
      <c r="C106" s="90"/>
      <c r="D106" s="90"/>
      <c r="E106" s="90">
        <f>SUM(E104:E105)</f>
        <v>668</v>
      </c>
    </row>
    <row r="107" spans="1:5" ht="17.25" customHeight="1">
      <c r="A107" s="90" t="s">
        <v>14</v>
      </c>
      <c r="B107" s="118">
        <f>B102+B106</f>
        <v>22</v>
      </c>
      <c r="C107" s="118"/>
      <c r="D107" s="118"/>
      <c r="E107" s="118">
        <f>E102+E106</f>
        <v>1950</v>
      </c>
    </row>
    <row r="108" spans="1:5" ht="17.25" customHeight="1">
      <c r="A108" s="109"/>
      <c r="B108" s="119"/>
      <c r="C108" s="125"/>
      <c r="D108" s="118"/>
      <c r="E108" s="118"/>
    </row>
    <row r="109" spans="1:5" ht="27" customHeight="1">
      <c r="A109" s="293" t="s">
        <v>275</v>
      </c>
      <c r="B109" s="295"/>
      <c r="C109" s="295"/>
      <c r="D109" s="295"/>
      <c r="E109" s="295"/>
    </row>
    <row r="110" spans="1:5" ht="24" customHeight="1">
      <c r="A110" s="27" t="s">
        <v>221</v>
      </c>
      <c r="B110" s="27" t="s">
        <v>222</v>
      </c>
      <c r="C110" s="27" t="s">
        <v>223</v>
      </c>
      <c r="D110" s="27" t="s">
        <v>224</v>
      </c>
      <c r="E110" s="116" t="s">
        <v>225</v>
      </c>
    </row>
    <row r="111" spans="1:5" ht="17.25" customHeight="1">
      <c r="A111" s="296" t="s">
        <v>233</v>
      </c>
      <c r="B111" s="297"/>
      <c r="C111" s="298"/>
      <c r="D111" s="27"/>
      <c r="E111" s="116"/>
    </row>
    <row r="112" spans="1:5" ht="32.25" customHeight="1">
      <c r="A112" s="87">
        <v>1397</v>
      </c>
      <c r="B112" s="124">
        <v>25</v>
      </c>
      <c r="C112" s="124" t="s">
        <v>234</v>
      </c>
      <c r="D112" s="87" t="s">
        <v>335</v>
      </c>
      <c r="E112" s="87">
        <v>1495</v>
      </c>
    </row>
    <row r="113" spans="1:5" ht="32.25" customHeight="1">
      <c r="A113" s="87">
        <v>1398</v>
      </c>
      <c r="B113" s="124">
        <v>25</v>
      </c>
      <c r="C113" s="124" t="s">
        <v>234</v>
      </c>
      <c r="D113" s="87" t="s">
        <v>336</v>
      </c>
      <c r="E113" s="46">
        <v>1504</v>
      </c>
    </row>
    <row r="114" spans="1:5" ht="32.25" customHeight="1">
      <c r="A114" s="87">
        <v>1399</v>
      </c>
      <c r="B114" s="124">
        <v>25</v>
      </c>
      <c r="C114" s="124" t="s">
        <v>234</v>
      </c>
      <c r="D114" s="46" t="s">
        <v>343</v>
      </c>
      <c r="E114" s="46">
        <v>1509</v>
      </c>
    </row>
    <row r="115" spans="1:5" ht="32.25" customHeight="1">
      <c r="A115" s="87">
        <v>1400</v>
      </c>
      <c r="B115" s="124">
        <v>20</v>
      </c>
      <c r="C115" s="124" t="s">
        <v>234</v>
      </c>
      <c r="D115" s="46" t="s">
        <v>337</v>
      </c>
      <c r="E115" s="46">
        <v>1223</v>
      </c>
    </row>
    <row r="116" spans="1:5" ht="17.25" customHeight="1">
      <c r="A116" s="156"/>
      <c r="B116" s="120">
        <f>SUM(B112:B115)</f>
        <v>95</v>
      </c>
      <c r="C116" s="120"/>
      <c r="D116" s="120"/>
      <c r="E116" s="120">
        <f>SUM(E112:E115)</f>
        <v>5731</v>
      </c>
    </row>
    <row r="117" spans="1:5" ht="17.25" customHeight="1">
      <c r="A117" s="296" t="s">
        <v>226</v>
      </c>
      <c r="B117" s="297"/>
      <c r="C117" s="298"/>
      <c r="D117" s="39"/>
      <c r="E117" s="39"/>
    </row>
    <row r="118" spans="1:5" ht="30" customHeight="1">
      <c r="A118" s="87">
        <v>1392</v>
      </c>
      <c r="B118" s="124">
        <v>25</v>
      </c>
      <c r="C118" s="124" t="s">
        <v>234</v>
      </c>
      <c r="D118" s="87" t="s">
        <v>338</v>
      </c>
      <c r="E118" s="74">
        <v>1405</v>
      </c>
    </row>
    <row r="119" spans="1:5" ht="17.25" customHeight="1">
      <c r="A119" s="87">
        <v>1393</v>
      </c>
      <c r="B119" s="124">
        <v>14</v>
      </c>
      <c r="C119" s="124" t="s">
        <v>234</v>
      </c>
      <c r="D119" s="124" t="s">
        <v>339</v>
      </c>
      <c r="E119" s="87">
        <v>790</v>
      </c>
    </row>
    <row r="120" spans="1:5" ht="17.25" customHeight="1">
      <c r="A120" s="87">
        <v>1394</v>
      </c>
      <c r="B120" s="124">
        <v>2</v>
      </c>
      <c r="C120" s="124" t="s">
        <v>235</v>
      </c>
      <c r="D120" s="124" t="s">
        <v>340</v>
      </c>
      <c r="E120" s="46">
        <v>124</v>
      </c>
    </row>
    <row r="121" spans="1:5" ht="17.25" customHeight="1">
      <c r="A121" s="87">
        <v>1396</v>
      </c>
      <c r="B121" s="124">
        <v>4</v>
      </c>
      <c r="C121" s="124" t="s">
        <v>238</v>
      </c>
      <c r="D121" s="124" t="s">
        <v>342</v>
      </c>
      <c r="E121" s="46">
        <v>309</v>
      </c>
    </row>
    <row r="122" spans="1:5" ht="17.25" customHeight="1">
      <c r="A122" s="27"/>
      <c r="B122" s="90">
        <f>SUM(B118:B121)</f>
        <v>45</v>
      </c>
      <c r="C122" s="90"/>
      <c r="D122" s="90"/>
      <c r="E122" s="90">
        <f>SUM(E118:E121)</f>
        <v>2628</v>
      </c>
    </row>
    <row r="123" spans="1:5" ht="17.25" customHeight="1">
      <c r="A123" s="296" t="s">
        <v>240</v>
      </c>
      <c r="B123" s="297"/>
      <c r="C123" s="298"/>
      <c r="D123" s="90"/>
      <c r="E123" s="90"/>
    </row>
    <row r="124" spans="1:5" ht="17.25" customHeight="1">
      <c r="A124" s="87">
        <v>1395</v>
      </c>
      <c r="B124" s="124">
        <v>2</v>
      </c>
      <c r="C124" s="124" t="s">
        <v>235</v>
      </c>
      <c r="D124" s="124" t="s">
        <v>341</v>
      </c>
      <c r="E124" s="46">
        <v>144</v>
      </c>
    </row>
    <row r="125" spans="1:5" ht="17.25" customHeight="1">
      <c r="A125" s="27"/>
      <c r="B125" s="90">
        <f>B124</f>
        <v>2</v>
      </c>
      <c r="C125" s="90"/>
      <c r="D125" s="90"/>
      <c r="E125" s="90">
        <f>E124</f>
        <v>144</v>
      </c>
    </row>
    <row r="126" spans="1:5" ht="17.25" customHeight="1">
      <c r="A126" s="90" t="s">
        <v>14</v>
      </c>
      <c r="B126" s="118">
        <f>B116+B122+B125</f>
        <v>142</v>
      </c>
      <c r="C126" s="118"/>
      <c r="D126" s="118"/>
      <c r="E126" s="118">
        <f>E116+E122+E125</f>
        <v>8503</v>
      </c>
    </row>
    <row r="127" spans="1:5" ht="17.25" customHeight="1">
      <c r="A127" s="109"/>
      <c r="B127" s="119"/>
      <c r="C127" s="125"/>
      <c r="D127" s="118"/>
      <c r="E127" s="118"/>
    </row>
    <row r="128" spans="1:5" ht="31.5" customHeight="1">
      <c r="A128" s="293" t="s">
        <v>276</v>
      </c>
      <c r="B128" s="295"/>
      <c r="C128" s="295"/>
      <c r="D128" s="295"/>
      <c r="E128" s="295"/>
    </row>
    <row r="129" spans="1:5" ht="24.75" customHeight="1">
      <c r="A129" s="27" t="s">
        <v>221</v>
      </c>
      <c r="B129" s="27" t="s">
        <v>222</v>
      </c>
      <c r="C129" s="27" t="s">
        <v>223</v>
      </c>
      <c r="D129" s="27" t="s">
        <v>224</v>
      </c>
      <c r="E129" s="116" t="s">
        <v>225</v>
      </c>
    </row>
    <row r="130" spans="1:5" ht="17.25" customHeight="1">
      <c r="A130" s="299" t="s">
        <v>233</v>
      </c>
      <c r="B130" s="300"/>
      <c r="C130" s="301"/>
      <c r="D130" s="46"/>
      <c r="E130" s="45"/>
    </row>
    <row r="131" spans="1:5" ht="17.25" customHeight="1">
      <c r="A131" s="46">
        <v>996</v>
      </c>
      <c r="B131" s="46">
        <v>3</v>
      </c>
      <c r="C131" s="46" t="s">
        <v>227</v>
      </c>
      <c r="D131" s="46" t="s">
        <v>351</v>
      </c>
      <c r="E131" s="150">
        <v>216</v>
      </c>
    </row>
    <row r="132" spans="1:5" ht="17.25" customHeight="1">
      <c r="A132" s="46">
        <v>997</v>
      </c>
      <c r="B132" s="46">
        <v>3</v>
      </c>
      <c r="C132" s="46" t="s">
        <v>250</v>
      </c>
      <c r="D132" s="46" t="s">
        <v>352</v>
      </c>
      <c r="E132" s="150">
        <v>304</v>
      </c>
    </row>
    <row r="133" spans="1:5" ht="17.25" customHeight="1">
      <c r="A133" s="208"/>
      <c r="B133" s="120">
        <f>SUM(B131:B132)</f>
        <v>6</v>
      </c>
      <c r="C133" s="120"/>
      <c r="D133" s="120"/>
      <c r="E133" s="120">
        <f>SUM(E131:E132)</f>
        <v>520</v>
      </c>
    </row>
    <row r="134" spans="1:5" ht="17.25" customHeight="1">
      <c r="A134" s="299" t="s">
        <v>226</v>
      </c>
      <c r="B134" s="300"/>
      <c r="C134" s="301"/>
      <c r="D134" s="39"/>
      <c r="E134" s="39"/>
    </row>
    <row r="135" spans="1:5" ht="17.25" customHeight="1">
      <c r="A135" s="87">
        <v>998</v>
      </c>
      <c r="B135" s="124">
        <v>3</v>
      </c>
      <c r="C135" s="87" t="s">
        <v>249</v>
      </c>
      <c r="D135" s="46" t="s">
        <v>253</v>
      </c>
      <c r="E135" s="151">
        <v>137</v>
      </c>
    </row>
    <row r="136" spans="1:5" ht="17.25" customHeight="1">
      <c r="A136" s="87">
        <v>999</v>
      </c>
      <c r="B136" s="124">
        <v>14</v>
      </c>
      <c r="C136" s="87" t="s">
        <v>227</v>
      </c>
      <c r="D136" s="46" t="s">
        <v>353</v>
      </c>
      <c r="E136" s="151">
        <v>1255</v>
      </c>
    </row>
    <row r="137" spans="1:5" ht="17.25" customHeight="1">
      <c r="A137" s="87">
        <v>1000</v>
      </c>
      <c r="B137" s="124">
        <v>7</v>
      </c>
      <c r="C137" s="87" t="s">
        <v>227</v>
      </c>
      <c r="D137" s="46" t="s">
        <v>354</v>
      </c>
      <c r="E137" s="151">
        <v>613</v>
      </c>
    </row>
    <row r="138" spans="1:5" ht="17.25" customHeight="1">
      <c r="A138" s="87">
        <v>1001</v>
      </c>
      <c r="B138" s="124">
        <v>1</v>
      </c>
      <c r="C138" s="87" t="s">
        <v>250</v>
      </c>
      <c r="D138" s="46" t="s">
        <v>252</v>
      </c>
      <c r="E138" s="151">
        <v>101</v>
      </c>
    </row>
    <row r="139" spans="1:5" ht="17.25" customHeight="1">
      <c r="A139" s="46"/>
      <c r="B139" s="181">
        <f>SUM(B135:B138)</f>
        <v>25</v>
      </c>
      <c r="C139" s="181"/>
      <c r="D139" s="181"/>
      <c r="E139" s="181">
        <f>SUM(E135:E138)</f>
        <v>2106</v>
      </c>
    </row>
    <row r="140" spans="1:5" ht="17.25" customHeight="1">
      <c r="A140" s="181" t="s">
        <v>14</v>
      </c>
      <c r="B140" s="186">
        <f>B133+B139</f>
        <v>31</v>
      </c>
      <c r="C140" s="186"/>
      <c r="D140" s="186"/>
      <c r="E140" s="186">
        <f>E133+E139</f>
        <v>2626</v>
      </c>
    </row>
    <row r="141" spans="1:5" ht="17.25" customHeight="1">
      <c r="A141" s="189"/>
      <c r="B141" s="187"/>
      <c r="C141" s="188"/>
      <c r="D141" s="186"/>
      <c r="E141" s="186"/>
    </row>
    <row r="142" spans="1:11" ht="29.25" customHeight="1">
      <c r="A142" s="293" t="s">
        <v>374</v>
      </c>
      <c r="B142" s="295"/>
      <c r="C142" s="295"/>
      <c r="D142" s="295"/>
      <c r="E142" s="295"/>
      <c r="F142" s="195"/>
      <c r="G142" s="219"/>
      <c r="H142" s="218">
        <v>7</v>
      </c>
      <c r="I142" s="201">
        <v>6.3</v>
      </c>
      <c r="J142" s="202" t="s">
        <v>359</v>
      </c>
      <c r="K142" s="202">
        <v>365</v>
      </c>
    </row>
    <row r="143" spans="1:7" ht="23.25" customHeight="1">
      <c r="A143" s="27" t="s">
        <v>221</v>
      </c>
      <c r="B143" s="27" t="s">
        <v>222</v>
      </c>
      <c r="C143" s="27" t="s">
        <v>223</v>
      </c>
      <c r="D143" s="27" t="s">
        <v>224</v>
      </c>
      <c r="E143" s="116" t="s">
        <v>225</v>
      </c>
      <c r="F143" s="195"/>
      <c r="G143" s="195"/>
    </row>
    <row r="144" spans="1:7" ht="17.25" customHeight="1">
      <c r="A144" s="299" t="s">
        <v>233</v>
      </c>
      <c r="B144" s="300"/>
      <c r="C144" s="301"/>
      <c r="D144" s="46"/>
      <c r="E144" s="45"/>
      <c r="F144" s="195"/>
      <c r="G144" s="195"/>
    </row>
    <row r="145" spans="1:7" ht="17.25" customHeight="1">
      <c r="A145" s="212">
        <v>717</v>
      </c>
      <c r="B145" s="209">
        <v>4</v>
      </c>
      <c r="C145" s="209" t="s">
        <v>234</v>
      </c>
      <c r="D145" s="210" t="s">
        <v>356</v>
      </c>
      <c r="E145" s="210">
        <v>245</v>
      </c>
      <c r="F145" s="195"/>
      <c r="G145" s="195"/>
    </row>
    <row r="146" spans="1:7" ht="17.25" customHeight="1">
      <c r="A146" s="212">
        <v>718</v>
      </c>
      <c r="B146" s="209">
        <v>2</v>
      </c>
      <c r="C146" s="209" t="s">
        <v>235</v>
      </c>
      <c r="D146" s="210" t="s">
        <v>357</v>
      </c>
      <c r="E146" s="209">
        <v>166</v>
      </c>
      <c r="F146" s="195"/>
      <c r="G146" s="195"/>
    </row>
    <row r="147" spans="1:7" ht="17.25" customHeight="1">
      <c r="A147" s="212">
        <v>719</v>
      </c>
      <c r="B147" s="211">
        <v>2</v>
      </c>
      <c r="C147" s="211" t="s">
        <v>238</v>
      </c>
      <c r="D147" s="212" t="s">
        <v>358</v>
      </c>
      <c r="E147" s="213">
        <v>194</v>
      </c>
      <c r="F147" s="195"/>
      <c r="G147" s="195"/>
    </row>
    <row r="148" spans="1:7" ht="17.25" customHeight="1">
      <c r="A148" s="192"/>
      <c r="B148" s="192">
        <f>SUM(B145:B147)</f>
        <v>8</v>
      </c>
      <c r="C148" s="192"/>
      <c r="D148" s="192"/>
      <c r="E148" s="193">
        <f>SUM(E145:E147)</f>
        <v>605</v>
      </c>
      <c r="F148" s="195"/>
      <c r="G148" s="195"/>
    </row>
    <row r="149" spans="1:7" ht="17.25" customHeight="1">
      <c r="A149" s="299" t="s">
        <v>226</v>
      </c>
      <c r="B149" s="300"/>
      <c r="C149" s="301"/>
      <c r="D149" s="192"/>
      <c r="E149" s="193"/>
      <c r="F149" s="195"/>
      <c r="G149" s="195"/>
    </row>
    <row r="150" spans="1:7" ht="17.25" customHeight="1">
      <c r="A150" s="212">
        <v>720</v>
      </c>
      <c r="B150" s="211">
        <v>7</v>
      </c>
      <c r="C150" s="211" t="s">
        <v>234</v>
      </c>
      <c r="D150" s="212" t="s">
        <v>359</v>
      </c>
      <c r="E150" s="212">
        <v>365</v>
      </c>
      <c r="F150" s="195"/>
      <c r="G150" s="195"/>
    </row>
    <row r="151" spans="1:7" ht="17.25" customHeight="1">
      <c r="A151" s="21">
        <v>721</v>
      </c>
      <c r="B151" s="215">
        <v>2</v>
      </c>
      <c r="C151" s="216" t="s">
        <v>254</v>
      </c>
      <c r="D151" s="212" t="s">
        <v>360</v>
      </c>
      <c r="E151" s="21">
        <v>410</v>
      </c>
      <c r="F151" s="195"/>
      <c r="G151" s="195"/>
    </row>
    <row r="152" spans="1:7" ht="17.25" customHeight="1">
      <c r="A152" s="21">
        <v>722</v>
      </c>
      <c r="B152" s="215">
        <v>2</v>
      </c>
      <c r="C152" s="216" t="s">
        <v>258</v>
      </c>
      <c r="D152" s="212" t="s">
        <v>361</v>
      </c>
      <c r="E152" s="21">
        <v>490</v>
      </c>
      <c r="F152" s="195"/>
      <c r="G152" s="195"/>
    </row>
    <row r="153" spans="1:7" ht="17.25" customHeight="1">
      <c r="A153" s="21">
        <v>723</v>
      </c>
      <c r="B153" s="21">
        <v>3</v>
      </c>
      <c r="C153" s="214" t="s">
        <v>277</v>
      </c>
      <c r="D153" s="21" t="s">
        <v>362</v>
      </c>
      <c r="E153" s="21">
        <v>1400</v>
      </c>
      <c r="F153" s="195"/>
      <c r="G153" s="195"/>
    </row>
    <row r="154" spans="1:7" ht="17.25" customHeight="1">
      <c r="A154" s="21">
        <v>724</v>
      </c>
      <c r="B154" s="215">
        <v>8</v>
      </c>
      <c r="C154" s="203" t="s">
        <v>363</v>
      </c>
      <c r="D154" s="212" t="s">
        <v>364</v>
      </c>
      <c r="E154" s="21">
        <v>5651</v>
      </c>
      <c r="F154" s="195"/>
      <c r="G154" s="195"/>
    </row>
    <row r="155" spans="1:7" ht="17.25" customHeight="1">
      <c r="A155" s="21">
        <v>725</v>
      </c>
      <c r="B155" s="215">
        <v>1</v>
      </c>
      <c r="C155" s="203" t="s">
        <v>365</v>
      </c>
      <c r="D155" s="212" t="s">
        <v>366</v>
      </c>
      <c r="E155" s="21">
        <v>1033</v>
      </c>
      <c r="F155" s="195"/>
      <c r="G155" s="195"/>
    </row>
    <row r="156" spans="1:7" ht="17.25" customHeight="1">
      <c r="A156" s="46"/>
      <c r="B156" s="192">
        <f>SUM(B150:B155)</f>
        <v>23</v>
      </c>
      <c r="C156" s="192"/>
      <c r="D156" s="192"/>
      <c r="E156" s="193">
        <f>SUM(E150:E155)</f>
        <v>9349</v>
      </c>
      <c r="F156" s="195"/>
      <c r="G156" s="195"/>
    </row>
    <row r="157" spans="1:7" ht="17.25" customHeight="1">
      <c r="A157" s="192" t="s">
        <v>14</v>
      </c>
      <c r="B157" s="186">
        <f>B148+B156</f>
        <v>31</v>
      </c>
      <c r="C157" s="186"/>
      <c r="D157" s="186"/>
      <c r="E157" s="186">
        <f>E148+E156</f>
        <v>9954</v>
      </c>
      <c r="F157" s="195"/>
      <c r="G157" s="195"/>
    </row>
    <row r="158" spans="1:7" ht="17.25" customHeight="1">
      <c r="A158" s="200"/>
      <c r="B158" s="187"/>
      <c r="C158" s="188"/>
      <c r="D158" s="188"/>
      <c r="E158" s="188"/>
      <c r="F158" s="195"/>
      <c r="G158" s="195"/>
    </row>
    <row r="159" spans="1:7" ht="28.5" customHeight="1">
      <c r="A159" s="293" t="s">
        <v>375</v>
      </c>
      <c r="B159" s="295"/>
      <c r="C159" s="295"/>
      <c r="D159" s="295"/>
      <c r="E159" s="295"/>
      <c r="F159" s="195"/>
      <c r="G159" s="195"/>
    </row>
    <row r="160" spans="1:7" ht="26.25" customHeight="1">
      <c r="A160" s="27" t="s">
        <v>221</v>
      </c>
      <c r="B160" s="27" t="s">
        <v>222</v>
      </c>
      <c r="C160" s="27" t="s">
        <v>223</v>
      </c>
      <c r="D160" s="27" t="s">
        <v>224</v>
      </c>
      <c r="E160" s="116" t="s">
        <v>225</v>
      </c>
      <c r="F160" s="195"/>
      <c r="G160" s="195"/>
    </row>
    <row r="161" spans="1:7" ht="17.25" customHeight="1">
      <c r="A161" s="299" t="s">
        <v>233</v>
      </c>
      <c r="B161" s="300"/>
      <c r="C161" s="301"/>
      <c r="D161" s="46"/>
      <c r="E161" s="45"/>
      <c r="F161" s="195"/>
      <c r="G161" s="195"/>
    </row>
    <row r="162" spans="1:7" ht="17.25" customHeight="1">
      <c r="A162" s="51">
        <v>724</v>
      </c>
      <c r="B162" s="149">
        <v>1</v>
      </c>
      <c r="C162" s="149" t="s">
        <v>234</v>
      </c>
      <c r="D162" s="149" t="s">
        <v>367</v>
      </c>
      <c r="E162" s="149">
        <v>50</v>
      </c>
      <c r="F162" s="195"/>
      <c r="G162" s="195"/>
    </row>
    <row r="163" spans="1:7" ht="17.25" customHeight="1">
      <c r="A163" s="51">
        <v>725</v>
      </c>
      <c r="B163" s="149">
        <v>6</v>
      </c>
      <c r="C163" s="149" t="s">
        <v>235</v>
      </c>
      <c r="D163" s="149" t="s">
        <v>368</v>
      </c>
      <c r="E163" s="149">
        <v>446</v>
      </c>
      <c r="F163" s="195"/>
      <c r="G163" s="195"/>
    </row>
    <row r="164" spans="1:7" ht="17.25" customHeight="1">
      <c r="A164" s="51">
        <v>726</v>
      </c>
      <c r="B164" s="149">
        <v>21</v>
      </c>
      <c r="C164" s="149" t="s">
        <v>238</v>
      </c>
      <c r="D164" s="217" t="s">
        <v>373</v>
      </c>
      <c r="E164" s="149">
        <v>2233</v>
      </c>
      <c r="F164" s="195"/>
      <c r="G164" s="195"/>
    </row>
    <row r="165" spans="1:7" ht="17.25" customHeight="1">
      <c r="A165" s="199"/>
      <c r="B165" s="199">
        <f>SUM(B162:B164)</f>
        <v>28</v>
      </c>
      <c r="C165" s="199"/>
      <c r="D165" s="199"/>
      <c r="E165" s="199">
        <f>SUM(E162:E164)</f>
        <v>2729</v>
      </c>
      <c r="F165" s="195"/>
      <c r="G165" s="195"/>
    </row>
    <row r="166" spans="1:7" ht="17.25" customHeight="1">
      <c r="A166" s="299" t="s">
        <v>226</v>
      </c>
      <c r="B166" s="300"/>
      <c r="C166" s="301"/>
      <c r="D166" s="199"/>
      <c r="E166" s="200"/>
      <c r="F166" s="195"/>
      <c r="G166" s="195"/>
    </row>
    <row r="167" spans="1:7" ht="17.25" customHeight="1">
      <c r="A167" s="51">
        <v>730</v>
      </c>
      <c r="B167" s="149">
        <v>1</v>
      </c>
      <c r="C167" s="153" t="s">
        <v>258</v>
      </c>
      <c r="D167" s="149" t="s">
        <v>369</v>
      </c>
      <c r="E167" s="149">
        <v>265</v>
      </c>
      <c r="F167" s="195"/>
      <c r="G167" s="195"/>
    </row>
    <row r="168" spans="1:7" ht="17.25" customHeight="1">
      <c r="A168" s="51">
        <v>727</v>
      </c>
      <c r="B168" s="149">
        <v>10</v>
      </c>
      <c r="C168" s="149" t="s">
        <v>235</v>
      </c>
      <c r="D168" s="149" t="s">
        <v>370</v>
      </c>
      <c r="E168" s="149">
        <v>750</v>
      </c>
      <c r="F168" s="195"/>
      <c r="G168" s="195"/>
    </row>
    <row r="169" spans="1:7" ht="17.25" customHeight="1">
      <c r="A169" s="51">
        <v>728</v>
      </c>
      <c r="B169" s="149">
        <v>5</v>
      </c>
      <c r="C169" s="149" t="s">
        <v>238</v>
      </c>
      <c r="D169" s="149" t="s">
        <v>371</v>
      </c>
      <c r="E169" s="149">
        <v>403</v>
      </c>
      <c r="F169" s="195"/>
      <c r="G169" s="195"/>
    </row>
    <row r="170" spans="1:7" ht="17.25" customHeight="1">
      <c r="A170" s="51">
        <v>729</v>
      </c>
      <c r="B170" s="149">
        <v>2</v>
      </c>
      <c r="C170" s="153" t="s">
        <v>245</v>
      </c>
      <c r="D170" s="149" t="s">
        <v>372</v>
      </c>
      <c r="E170" s="149">
        <v>207</v>
      </c>
      <c r="F170" s="195"/>
      <c r="G170" s="195"/>
    </row>
    <row r="171" spans="1:7" ht="17.25" customHeight="1">
      <c r="A171" s="46"/>
      <c r="B171" s="199">
        <f>SUM(B167:B170)</f>
        <v>18</v>
      </c>
      <c r="C171" s="199"/>
      <c r="D171" s="199"/>
      <c r="E171" s="199">
        <f>SUM(E167:E170)</f>
        <v>1625</v>
      </c>
      <c r="F171" s="195"/>
      <c r="G171" s="195"/>
    </row>
    <row r="172" spans="1:7" ht="17.25" customHeight="1">
      <c r="A172" s="199" t="s">
        <v>14</v>
      </c>
      <c r="B172" s="186">
        <f>B165+B171</f>
        <v>46</v>
      </c>
      <c r="C172" s="186"/>
      <c r="D172" s="186"/>
      <c r="E172" s="186">
        <f>E165+E171</f>
        <v>4354</v>
      </c>
      <c r="F172" s="195"/>
      <c r="G172" s="195"/>
    </row>
    <row r="173" spans="1:7" ht="17.25" customHeight="1">
      <c r="A173" s="207"/>
      <c r="B173" s="187"/>
      <c r="C173" s="188"/>
      <c r="D173" s="186"/>
      <c r="E173" s="186"/>
      <c r="F173" s="195"/>
      <c r="G173" s="195"/>
    </row>
    <row r="174" spans="1:7" ht="27.75" customHeight="1">
      <c r="A174" s="293" t="s">
        <v>376</v>
      </c>
      <c r="B174" s="295"/>
      <c r="C174" s="295"/>
      <c r="D174" s="295"/>
      <c r="E174" s="295"/>
      <c r="F174" s="195" t="s">
        <v>255</v>
      </c>
      <c r="G174" s="195"/>
    </row>
    <row r="175" spans="1:7" ht="21.75" customHeight="1">
      <c r="A175" s="27" t="s">
        <v>221</v>
      </c>
      <c r="B175" s="27" t="s">
        <v>222</v>
      </c>
      <c r="C175" s="27" t="s">
        <v>223</v>
      </c>
      <c r="D175" s="27" t="s">
        <v>224</v>
      </c>
      <c r="E175" s="116" t="s">
        <v>225</v>
      </c>
      <c r="F175" s="195"/>
      <c r="G175" s="195"/>
    </row>
    <row r="176" spans="1:7" ht="17.25" customHeight="1">
      <c r="A176" s="299" t="s">
        <v>233</v>
      </c>
      <c r="B176" s="300"/>
      <c r="C176" s="301"/>
      <c r="D176" s="46"/>
      <c r="E176" s="45"/>
      <c r="F176" s="195"/>
      <c r="G176" s="195"/>
    </row>
    <row r="177" spans="1:7" ht="17.25" customHeight="1">
      <c r="A177" s="51">
        <v>431</v>
      </c>
      <c r="B177" s="51">
        <v>6</v>
      </c>
      <c r="C177" s="51" t="s">
        <v>238</v>
      </c>
      <c r="D177" s="51" t="s">
        <v>377</v>
      </c>
      <c r="E177" s="51">
        <v>696</v>
      </c>
      <c r="F177" s="195"/>
      <c r="G177" s="195"/>
    </row>
    <row r="178" spans="1:7" ht="17.25" customHeight="1">
      <c r="A178" s="51">
        <v>431</v>
      </c>
      <c r="B178" s="51">
        <v>2</v>
      </c>
      <c r="C178" s="51" t="s">
        <v>235</v>
      </c>
      <c r="D178" s="51" t="s">
        <v>378</v>
      </c>
      <c r="E178" s="51">
        <v>174</v>
      </c>
      <c r="F178" s="195"/>
      <c r="G178" s="195"/>
    </row>
    <row r="179" spans="1:7" ht="17.25" customHeight="1">
      <c r="A179" s="206"/>
      <c r="B179" s="206">
        <f>SUM(B177:B178)</f>
        <v>8</v>
      </c>
      <c r="C179" s="206"/>
      <c r="D179" s="206"/>
      <c r="E179" s="206">
        <f>SUM(E177:E178)</f>
        <v>870</v>
      </c>
      <c r="F179" s="195"/>
      <c r="G179" s="195"/>
    </row>
    <row r="180" spans="1:7" ht="17.25" customHeight="1">
      <c r="A180" s="299" t="s">
        <v>226</v>
      </c>
      <c r="B180" s="300"/>
      <c r="C180" s="301"/>
      <c r="D180" s="206"/>
      <c r="E180" s="207"/>
      <c r="F180" s="195"/>
      <c r="G180" s="195"/>
    </row>
    <row r="181" spans="1:7" ht="17.25" customHeight="1">
      <c r="A181" s="51">
        <v>433</v>
      </c>
      <c r="B181" s="51">
        <v>2</v>
      </c>
      <c r="C181" s="51" t="s">
        <v>245</v>
      </c>
      <c r="D181" s="51" t="s">
        <v>379</v>
      </c>
      <c r="E181" s="51">
        <v>250</v>
      </c>
      <c r="F181" s="195"/>
      <c r="G181" s="195"/>
    </row>
    <row r="182" spans="1:7" ht="17.25" customHeight="1">
      <c r="A182" s="51">
        <v>432</v>
      </c>
      <c r="B182" s="51">
        <v>1</v>
      </c>
      <c r="C182" s="51" t="s">
        <v>238</v>
      </c>
      <c r="D182" s="51" t="s">
        <v>252</v>
      </c>
      <c r="E182" s="51">
        <v>90</v>
      </c>
      <c r="F182" s="195"/>
      <c r="G182" s="195"/>
    </row>
    <row r="183" spans="1:7" ht="17.25" customHeight="1">
      <c r="A183" s="51">
        <v>432</v>
      </c>
      <c r="B183" s="51">
        <v>1</v>
      </c>
      <c r="C183" s="51" t="s">
        <v>245</v>
      </c>
      <c r="D183" s="51" t="s">
        <v>252</v>
      </c>
      <c r="E183" s="51">
        <v>125</v>
      </c>
      <c r="F183" s="195"/>
      <c r="G183" s="195"/>
    </row>
    <row r="184" spans="1:7" ht="17.25" customHeight="1">
      <c r="A184" s="46"/>
      <c r="B184" s="206">
        <f>SUM(B181:B183)</f>
        <v>4</v>
      </c>
      <c r="C184" s="206"/>
      <c r="D184" s="206"/>
      <c r="E184" s="206">
        <f>SUM(E181:E183)</f>
        <v>465</v>
      </c>
      <c r="F184" s="195"/>
      <c r="G184" s="195"/>
    </row>
    <row r="185" spans="1:7" ht="17.25" customHeight="1">
      <c r="A185" s="206" t="s">
        <v>14</v>
      </c>
      <c r="B185" s="186">
        <f>B179+B184</f>
        <v>12</v>
      </c>
      <c r="C185" s="186"/>
      <c r="D185" s="186"/>
      <c r="E185" s="186">
        <f>E179+E184</f>
        <v>1335</v>
      </c>
      <c r="F185" s="195"/>
      <c r="G185" s="195"/>
    </row>
    <row r="186" spans="1:7" ht="17.25" customHeight="1">
      <c r="A186" s="220"/>
      <c r="B186" s="187"/>
      <c r="C186" s="188"/>
      <c r="D186" s="186"/>
      <c r="E186" s="186"/>
      <c r="F186" s="195"/>
      <c r="G186" s="195"/>
    </row>
    <row r="187" spans="1:7" ht="27" customHeight="1">
      <c r="A187" s="293" t="s">
        <v>381</v>
      </c>
      <c r="B187" s="295"/>
      <c r="C187" s="295"/>
      <c r="D187" s="295"/>
      <c r="E187" s="295"/>
      <c r="F187" s="195"/>
      <c r="G187" s="195"/>
    </row>
    <row r="188" spans="1:7" ht="17.25" customHeight="1">
      <c r="A188" s="27" t="s">
        <v>221</v>
      </c>
      <c r="B188" s="27" t="s">
        <v>222</v>
      </c>
      <c r="C188" s="27" t="s">
        <v>223</v>
      </c>
      <c r="D188" s="27" t="s">
        <v>224</v>
      </c>
      <c r="E188" s="116" t="s">
        <v>225</v>
      </c>
      <c r="F188" s="195"/>
      <c r="G188" s="195"/>
    </row>
    <row r="189" spans="1:7" ht="17.25" customHeight="1">
      <c r="A189" s="299" t="s">
        <v>233</v>
      </c>
      <c r="B189" s="300"/>
      <c r="C189" s="301"/>
      <c r="D189" s="46"/>
      <c r="E189" s="45"/>
      <c r="F189" s="195"/>
      <c r="G189" s="195"/>
    </row>
    <row r="190" spans="1:7" ht="17.25" customHeight="1">
      <c r="A190" s="196">
        <v>23103</v>
      </c>
      <c r="B190" s="194">
        <v>6</v>
      </c>
      <c r="C190" s="160" t="s">
        <v>235</v>
      </c>
      <c r="D190" s="160" t="s">
        <v>382</v>
      </c>
      <c r="E190" s="194">
        <v>475</v>
      </c>
      <c r="F190" s="195"/>
      <c r="G190" s="195"/>
    </row>
    <row r="191" spans="1:7" ht="17.25" customHeight="1">
      <c r="A191" s="196">
        <v>23104</v>
      </c>
      <c r="B191" s="194">
        <v>12</v>
      </c>
      <c r="C191" s="160" t="s">
        <v>238</v>
      </c>
      <c r="D191" s="160" t="s">
        <v>383</v>
      </c>
      <c r="E191" s="194">
        <v>1376</v>
      </c>
      <c r="F191" s="195"/>
      <c r="G191" s="195"/>
    </row>
    <row r="192" spans="1:7" ht="17.25" customHeight="1">
      <c r="A192" s="221"/>
      <c r="B192" s="221">
        <f>SUM(B190:B191)</f>
        <v>18</v>
      </c>
      <c r="C192" s="221"/>
      <c r="D192" s="221"/>
      <c r="E192" s="220">
        <f>SUM(E190:E191)</f>
        <v>1851</v>
      </c>
      <c r="F192" s="195"/>
      <c r="G192" s="195"/>
    </row>
    <row r="193" spans="1:7" ht="17.25" customHeight="1">
      <c r="A193" s="299" t="s">
        <v>226</v>
      </c>
      <c r="B193" s="300"/>
      <c r="C193" s="301"/>
      <c r="D193" s="221"/>
      <c r="E193" s="220"/>
      <c r="F193" s="195"/>
      <c r="G193" s="195"/>
    </row>
    <row r="194" spans="1:7" ht="17.25" customHeight="1">
      <c r="A194" s="257">
        <v>23105</v>
      </c>
      <c r="B194" s="160">
        <v>5</v>
      </c>
      <c r="C194" s="223" t="s">
        <v>254</v>
      </c>
      <c r="D194" s="160" t="s">
        <v>384</v>
      </c>
      <c r="E194" s="160">
        <v>1028</v>
      </c>
      <c r="F194" s="195"/>
      <c r="G194" s="195"/>
    </row>
    <row r="195" spans="1:7" ht="17.25" customHeight="1">
      <c r="A195" s="257">
        <v>23106</v>
      </c>
      <c r="B195" s="160">
        <v>2</v>
      </c>
      <c r="C195" s="173" t="s">
        <v>258</v>
      </c>
      <c r="D195" s="160" t="s">
        <v>385</v>
      </c>
      <c r="E195" s="160">
        <v>565</v>
      </c>
      <c r="F195" s="195"/>
      <c r="G195" s="195"/>
    </row>
    <row r="196" spans="1:7" ht="17.25" customHeight="1">
      <c r="A196" s="196">
        <v>23107</v>
      </c>
      <c r="B196" s="197">
        <v>1</v>
      </c>
      <c r="C196" s="224" t="s">
        <v>235</v>
      </c>
      <c r="D196" s="224" t="s">
        <v>386</v>
      </c>
      <c r="E196" s="197">
        <v>81</v>
      </c>
      <c r="F196" s="195"/>
      <c r="G196" s="195"/>
    </row>
    <row r="197" spans="1:7" ht="17.25" customHeight="1">
      <c r="A197" s="196">
        <v>23107</v>
      </c>
      <c r="B197" s="197">
        <v>1</v>
      </c>
      <c r="C197" s="224" t="s">
        <v>238</v>
      </c>
      <c r="D197" s="225" t="s">
        <v>387</v>
      </c>
      <c r="E197" s="224">
        <v>88</v>
      </c>
      <c r="F197" s="195"/>
      <c r="G197" s="195"/>
    </row>
    <row r="198" spans="1:7" ht="17.25" customHeight="1">
      <c r="A198" s="196">
        <v>23107</v>
      </c>
      <c r="B198" s="197">
        <v>1</v>
      </c>
      <c r="C198" s="173" t="s">
        <v>245</v>
      </c>
      <c r="D198" s="225" t="s">
        <v>387</v>
      </c>
      <c r="E198" s="197">
        <v>118</v>
      </c>
      <c r="F198" s="195"/>
      <c r="G198" s="195"/>
    </row>
    <row r="199" spans="1:7" ht="17.25" customHeight="1">
      <c r="A199" s="46"/>
      <c r="B199" s="221">
        <f>SUM(B194:B198)</f>
        <v>10</v>
      </c>
      <c r="C199" s="221"/>
      <c r="D199" s="221"/>
      <c r="E199" s="220">
        <f>SUM(E194:E198)</f>
        <v>1880</v>
      </c>
      <c r="F199" s="195"/>
      <c r="G199" s="195"/>
    </row>
    <row r="200" spans="1:7" ht="17.25" customHeight="1">
      <c r="A200" s="221" t="s">
        <v>14</v>
      </c>
      <c r="B200" s="186">
        <f>B192+B199</f>
        <v>28</v>
      </c>
      <c r="C200" s="186"/>
      <c r="D200" s="186"/>
      <c r="E200" s="186">
        <f>E192+E199</f>
        <v>3731</v>
      </c>
      <c r="F200" s="195"/>
      <c r="G200" s="195"/>
    </row>
    <row r="201" spans="1:7" ht="17.25" customHeight="1">
      <c r="A201" s="220"/>
      <c r="B201" s="187"/>
      <c r="C201" s="188"/>
      <c r="D201" s="186"/>
      <c r="E201" s="186"/>
      <c r="F201" s="195"/>
      <c r="G201" s="195"/>
    </row>
    <row r="202" spans="1:7" ht="29.25" customHeight="1">
      <c r="A202" s="293" t="s">
        <v>388</v>
      </c>
      <c r="B202" s="295"/>
      <c r="C202" s="295"/>
      <c r="D202" s="295"/>
      <c r="E202" s="295"/>
      <c r="F202" s="195"/>
      <c r="G202" s="195"/>
    </row>
    <row r="203" spans="1:7" ht="17.25" customHeight="1">
      <c r="A203" s="27" t="s">
        <v>221</v>
      </c>
      <c r="B203" s="27" t="s">
        <v>222</v>
      </c>
      <c r="C203" s="27" t="s">
        <v>223</v>
      </c>
      <c r="D203" s="27" t="s">
        <v>224</v>
      </c>
      <c r="E203" s="116" t="s">
        <v>225</v>
      </c>
      <c r="F203" s="195"/>
      <c r="G203" s="195"/>
    </row>
    <row r="204" spans="1:7" ht="17.25" customHeight="1">
      <c r="A204" s="299" t="s">
        <v>233</v>
      </c>
      <c r="B204" s="300"/>
      <c r="C204" s="301"/>
      <c r="D204" s="46"/>
      <c r="E204" s="45"/>
      <c r="F204" s="195"/>
      <c r="G204" s="195"/>
    </row>
    <row r="205" spans="1:7" ht="17.25" customHeight="1">
      <c r="A205" s="368" t="s">
        <v>389</v>
      </c>
      <c r="B205" s="226">
        <v>3</v>
      </c>
      <c r="C205" s="226" t="s">
        <v>235</v>
      </c>
      <c r="D205" s="226" t="s">
        <v>390</v>
      </c>
      <c r="E205" s="226">
        <v>245</v>
      </c>
      <c r="F205" s="195"/>
      <c r="G205" s="195"/>
    </row>
    <row r="206" spans="1:7" ht="17.25" customHeight="1">
      <c r="A206" s="221"/>
      <c r="B206" s="221">
        <f>SUM(B205:B205)</f>
        <v>3</v>
      </c>
      <c r="C206" s="221"/>
      <c r="D206" s="221"/>
      <c r="E206" s="220">
        <f>SUM(E205:E205)</f>
        <v>245</v>
      </c>
      <c r="F206" s="195"/>
      <c r="G206" s="195"/>
    </row>
    <row r="207" spans="1:7" ht="17.25" customHeight="1">
      <c r="A207" s="299" t="s">
        <v>226</v>
      </c>
      <c r="B207" s="300"/>
      <c r="C207" s="301"/>
      <c r="D207" s="221"/>
      <c r="E207" s="220"/>
      <c r="F207" s="195"/>
      <c r="G207" s="195"/>
    </row>
    <row r="208" spans="1:7" ht="17.25" customHeight="1">
      <c r="A208" s="368" t="s">
        <v>391</v>
      </c>
      <c r="B208" s="204">
        <v>3</v>
      </c>
      <c r="C208" s="205" t="s">
        <v>245</v>
      </c>
      <c r="D208" s="204" t="s">
        <v>392</v>
      </c>
      <c r="E208" s="204">
        <v>373</v>
      </c>
      <c r="F208" s="195"/>
      <c r="G208" s="195"/>
    </row>
    <row r="209" spans="1:7" ht="17.25" customHeight="1">
      <c r="A209" s="368" t="s">
        <v>391</v>
      </c>
      <c r="B209" s="194">
        <v>4</v>
      </c>
      <c r="C209" s="198" t="s">
        <v>254</v>
      </c>
      <c r="D209" s="160" t="s">
        <v>393</v>
      </c>
      <c r="E209" s="194">
        <v>820</v>
      </c>
      <c r="F209" s="195"/>
      <c r="G209" s="195"/>
    </row>
    <row r="210" spans="1:7" ht="17.25" customHeight="1">
      <c r="A210" s="368" t="s">
        <v>394</v>
      </c>
      <c r="B210" s="204">
        <v>2</v>
      </c>
      <c r="C210" s="204" t="s">
        <v>235</v>
      </c>
      <c r="D210" s="222" t="s">
        <v>395</v>
      </c>
      <c r="E210" s="204">
        <v>144</v>
      </c>
      <c r="F210" s="195"/>
      <c r="G210" s="195"/>
    </row>
    <row r="211" spans="1:7" ht="17.25" customHeight="1">
      <c r="A211" s="368" t="s">
        <v>396</v>
      </c>
      <c r="B211" s="204">
        <v>1</v>
      </c>
      <c r="C211" s="205" t="s">
        <v>245</v>
      </c>
      <c r="D211" s="222" t="s">
        <v>259</v>
      </c>
      <c r="E211" s="204">
        <v>115</v>
      </c>
      <c r="F211" s="195"/>
      <c r="G211" s="195"/>
    </row>
    <row r="212" spans="1:7" ht="17.25" customHeight="1">
      <c r="A212" s="46"/>
      <c r="B212" s="221">
        <f>SUM(B208:B211)</f>
        <v>10</v>
      </c>
      <c r="C212" s="221"/>
      <c r="D212" s="221"/>
      <c r="E212" s="220">
        <f>SUM(E208:E211)</f>
        <v>1452</v>
      </c>
      <c r="F212" s="195"/>
      <c r="G212" s="195"/>
    </row>
    <row r="213" spans="1:7" ht="17.25" customHeight="1">
      <c r="A213" s="221" t="s">
        <v>14</v>
      </c>
      <c r="B213" s="186">
        <f>B206+B212</f>
        <v>13</v>
      </c>
      <c r="C213" s="186"/>
      <c r="D213" s="186"/>
      <c r="E213" s="186">
        <f>E206+E212</f>
        <v>1697</v>
      </c>
      <c r="F213" s="195"/>
      <c r="G213" s="195"/>
    </row>
    <row r="214" spans="1:7" ht="17.25" customHeight="1">
      <c r="A214" s="220"/>
      <c r="B214" s="187"/>
      <c r="C214" s="188"/>
      <c r="D214" s="186"/>
      <c r="E214" s="186"/>
      <c r="F214" s="195"/>
      <c r="G214" s="195"/>
    </row>
    <row r="215" spans="1:7" ht="27" customHeight="1">
      <c r="A215" s="293" t="s">
        <v>397</v>
      </c>
      <c r="B215" s="295"/>
      <c r="C215" s="295"/>
      <c r="D215" s="295"/>
      <c r="E215" s="295"/>
      <c r="F215" s="195"/>
      <c r="G215" s="195"/>
    </row>
    <row r="216" spans="1:7" ht="23.25" customHeight="1">
      <c r="A216" s="27" t="s">
        <v>221</v>
      </c>
      <c r="B216" s="27" t="s">
        <v>222</v>
      </c>
      <c r="C216" s="27" t="s">
        <v>223</v>
      </c>
      <c r="D216" s="27" t="s">
        <v>224</v>
      </c>
      <c r="E216" s="116" t="s">
        <v>225</v>
      </c>
      <c r="F216" s="195"/>
      <c r="G216" s="195"/>
    </row>
    <row r="217" spans="1:7" ht="17.25" customHeight="1">
      <c r="A217" s="299" t="s">
        <v>226</v>
      </c>
      <c r="B217" s="300"/>
      <c r="C217" s="301"/>
      <c r="D217" s="221"/>
      <c r="E217" s="220"/>
      <c r="F217" s="195"/>
      <c r="G217" s="195"/>
    </row>
    <row r="218" spans="1:7" ht="17.25" customHeight="1">
      <c r="A218" s="369">
        <v>109</v>
      </c>
      <c r="B218" s="227">
        <v>25</v>
      </c>
      <c r="C218" s="228" t="s">
        <v>227</v>
      </c>
      <c r="D218" s="222" t="s">
        <v>398</v>
      </c>
      <c r="E218" s="229">
        <v>1149</v>
      </c>
      <c r="F218" s="195"/>
      <c r="G218" s="195"/>
    </row>
    <row r="219" spans="1:7" ht="17.25" customHeight="1">
      <c r="A219" s="370">
        <v>110</v>
      </c>
      <c r="B219" s="227">
        <v>29</v>
      </c>
      <c r="C219" s="228" t="s">
        <v>227</v>
      </c>
      <c r="D219" s="222" t="s">
        <v>399</v>
      </c>
      <c r="E219" s="229">
        <v>1347</v>
      </c>
      <c r="F219" s="195"/>
      <c r="G219" s="195"/>
    </row>
    <row r="220" spans="1:7" ht="17.25" customHeight="1">
      <c r="A220" s="46"/>
      <c r="B220" s="221">
        <f>SUM(B218:B219)</f>
        <v>54</v>
      </c>
      <c r="C220" s="221"/>
      <c r="D220" s="221"/>
      <c r="E220" s="220">
        <f>SUM(E218:E219)</f>
        <v>2496</v>
      </c>
      <c r="F220" s="195"/>
      <c r="G220" s="195"/>
    </row>
    <row r="221" spans="1:7" ht="17.25" customHeight="1">
      <c r="A221" s="221" t="s">
        <v>14</v>
      </c>
      <c r="B221" s="186">
        <f>B220</f>
        <v>54</v>
      </c>
      <c r="C221" s="186"/>
      <c r="D221" s="186"/>
      <c r="E221" s="186">
        <f>E220</f>
        <v>2496</v>
      </c>
      <c r="F221" s="195"/>
      <c r="G221" s="195"/>
    </row>
    <row r="222" spans="1:7" ht="17.25" customHeight="1">
      <c r="A222" s="220"/>
      <c r="B222" s="187"/>
      <c r="C222" s="188"/>
      <c r="D222" s="186"/>
      <c r="E222" s="186"/>
      <c r="F222" s="195"/>
      <c r="G222" s="195"/>
    </row>
    <row r="223" spans="1:7" ht="27.75" customHeight="1">
      <c r="A223" s="293" t="s">
        <v>400</v>
      </c>
      <c r="B223" s="295"/>
      <c r="C223" s="295"/>
      <c r="D223" s="295"/>
      <c r="E223" s="295"/>
      <c r="F223" s="195"/>
      <c r="G223" s="195"/>
    </row>
    <row r="224" spans="1:7" ht="24.75" customHeight="1">
      <c r="A224" s="27" t="s">
        <v>221</v>
      </c>
      <c r="B224" s="27" t="s">
        <v>222</v>
      </c>
      <c r="C224" s="27" t="s">
        <v>223</v>
      </c>
      <c r="D224" s="27" t="s">
        <v>224</v>
      </c>
      <c r="E224" s="116" t="s">
        <v>225</v>
      </c>
      <c r="F224" s="195"/>
      <c r="G224" s="195"/>
    </row>
    <row r="225" spans="1:7" ht="17.25" customHeight="1">
      <c r="A225" s="299" t="s">
        <v>233</v>
      </c>
      <c r="B225" s="300"/>
      <c r="C225" s="301"/>
      <c r="D225" s="46"/>
      <c r="E225" s="45"/>
      <c r="F225" s="195"/>
      <c r="G225" s="195"/>
    </row>
    <row r="226" spans="1:7" ht="17.25" customHeight="1">
      <c r="A226" s="230">
        <v>1288</v>
      </c>
      <c r="B226" s="230">
        <v>2</v>
      </c>
      <c r="C226" s="230" t="s">
        <v>234</v>
      </c>
      <c r="D226" s="172" t="s">
        <v>401</v>
      </c>
      <c r="E226" s="230">
        <v>110</v>
      </c>
      <c r="F226" s="195"/>
      <c r="G226" s="195"/>
    </row>
    <row r="227" spans="1:7" ht="17.25" customHeight="1">
      <c r="A227" s="264">
        <v>1289</v>
      </c>
      <c r="B227" s="230">
        <v>8</v>
      </c>
      <c r="C227" s="230" t="s">
        <v>227</v>
      </c>
      <c r="D227" s="172" t="s">
        <v>402</v>
      </c>
      <c r="E227" s="172">
        <v>624</v>
      </c>
      <c r="F227" s="195"/>
      <c r="G227" s="195"/>
    </row>
    <row r="228" spans="1:7" ht="17.25" customHeight="1">
      <c r="A228" s="264">
        <v>1290</v>
      </c>
      <c r="B228" s="222">
        <v>4</v>
      </c>
      <c r="C228" s="222" t="s">
        <v>238</v>
      </c>
      <c r="D228" s="222" t="s">
        <v>403</v>
      </c>
      <c r="E228" s="222">
        <v>440</v>
      </c>
      <c r="F228" s="195"/>
      <c r="G228" s="195"/>
    </row>
    <row r="229" spans="1:7" ht="17.25" customHeight="1">
      <c r="A229" s="221"/>
      <c r="B229" s="221">
        <f>SUM(B226:B228)</f>
        <v>14</v>
      </c>
      <c r="C229" s="221"/>
      <c r="D229" s="221"/>
      <c r="E229" s="221">
        <f>SUM(E226:E228)</f>
        <v>1174</v>
      </c>
      <c r="F229" s="195"/>
      <c r="G229" s="195"/>
    </row>
    <row r="230" spans="1:7" ht="17.25" customHeight="1">
      <c r="A230" s="299" t="s">
        <v>226</v>
      </c>
      <c r="B230" s="300"/>
      <c r="C230" s="301"/>
      <c r="D230" s="221"/>
      <c r="E230" s="220"/>
      <c r="F230" s="195"/>
      <c r="G230" s="195"/>
    </row>
    <row r="231" spans="1:7" ht="17.25" customHeight="1">
      <c r="A231" s="371">
        <v>1292</v>
      </c>
      <c r="B231" s="196">
        <v>3</v>
      </c>
      <c r="C231" s="173" t="s">
        <v>254</v>
      </c>
      <c r="D231" s="222" t="s">
        <v>404</v>
      </c>
      <c r="E231" s="196">
        <v>636</v>
      </c>
      <c r="F231" s="195"/>
      <c r="G231" s="195"/>
    </row>
    <row r="232" spans="1:7" ht="17.25" customHeight="1">
      <c r="A232" s="372">
        <v>1293</v>
      </c>
      <c r="B232" s="230">
        <v>3</v>
      </c>
      <c r="C232" s="173" t="s">
        <v>258</v>
      </c>
      <c r="D232" s="222" t="s">
        <v>405</v>
      </c>
      <c r="E232" s="172">
        <v>830</v>
      </c>
      <c r="F232" s="195"/>
      <c r="G232" s="195"/>
    </row>
    <row r="233" spans="1:7" ht="17.25" customHeight="1">
      <c r="A233" s="371">
        <v>1291</v>
      </c>
      <c r="B233" s="196">
        <v>25</v>
      </c>
      <c r="C233" s="222" t="s">
        <v>227</v>
      </c>
      <c r="D233" s="222" t="s">
        <v>398</v>
      </c>
      <c r="E233" s="196">
        <v>1426</v>
      </c>
      <c r="F233" s="195"/>
      <c r="G233" s="195"/>
    </row>
    <row r="234" spans="1:7" ht="17.25" customHeight="1">
      <c r="A234" s="46"/>
      <c r="B234" s="221">
        <f>SUM(B231:B233)</f>
        <v>31</v>
      </c>
      <c r="C234" s="221"/>
      <c r="D234" s="221"/>
      <c r="E234" s="220">
        <f>SUM(E231:E233)</f>
        <v>2892</v>
      </c>
      <c r="F234" s="195"/>
      <c r="G234" s="195"/>
    </row>
    <row r="235" spans="1:7" ht="17.25" customHeight="1">
      <c r="A235" s="221" t="s">
        <v>14</v>
      </c>
      <c r="B235" s="186">
        <f>B229+B234</f>
        <v>45</v>
      </c>
      <c r="C235" s="186"/>
      <c r="D235" s="186"/>
      <c r="E235" s="186">
        <f>E229+E234</f>
        <v>4066</v>
      </c>
      <c r="F235" s="195"/>
      <c r="G235" s="195"/>
    </row>
    <row r="236" spans="1:7" ht="17.25" customHeight="1">
      <c r="A236" s="242"/>
      <c r="B236" s="187"/>
      <c r="C236" s="188"/>
      <c r="D236" s="186"/>
      <c r="E236" s="186"/>
      <c r="F236" s="195"/>
      <c r="G236" s="195"/>
    </row>
    <row r="237" spans="1:7" ht="27" customHeight="1">
      <c r="A237" s="293" t="s">
        <v>444</v>
      </c>
      <c r="B237" s="295"/>
      <c r="C237" s="295"/>
      <c r="D237" s="295"/>
      <c r="E237" s="295"/>
      <c r="F237" s="195"/>
      <c r="G237" s="195"/>
    </row>
    <row r="238" spans="1:7" ht="27" customHeight="1">
      <c r="A238" s="27" t="s">
        <v>221</v>
      </c>
      <c r="B238" s="27" t="s">
        <v>222</v>
      </c>
      <c r="C238" s="27" t="s">
        <v>223</v>
      </c>
      <c r="D238" s="27" t="s">
        <v>224</v>
      </c>
      <c r="E238" s="116" t="s">
        <v>225</v>
      </c>
      <c r="F238" s="195"/>
      <c r="G238" s="195"/>
    </row>
    <row r="239" spans="1:7" ht="17.25" customHeight="1">
      <c r="A239" s="299" t="s">
        <v>233</v>
      </c>
      <c r="B239" s="300"/>
      <c r="C239" s="301"/>
      <c r="D239" s="46"/>
      <c r="E239" s="45"/>
      <c r="F239" s="195"/>
      <c r="G239" s="195"/>
    </row>
    <row r="240" spans="1:7" ht="17.25" customHeight="1">
      <c r="A240" s="156">
        <v>1123</v>
      </c>
      <c r="B240" s="251">
        <v>4</v>
      </c>
      <c r="C240" s="251" t="s">
        <v>238</v>
      </c>
      <c r="D240" s="250" t="s">
        <v>442</v>
      </c>
      <c r="E240" s="250">
        <v>448</v>
      </c>
      <c r="F240" s="195"/>
      <c r="G240" s="195"/>
    </row>
    <row r="241" spans="1:7" ht="17.25" customHeight="1">
      <c r="A241" s="156">
        <v>1124</v>
      </c>
      <c r="B241" s="251">
        <v>2</v>
      </c>
      <c r="C241" s="251" t="s">
        <v>235</v>
      </c>
      <c r="D241" s="250" t="s">
        <v>443</v>
      </c>
      <c r="E241" s="250">
        <v>166</v>
      </c>
      <c r="F241" s="195"/>
      <c r="G241" s="195"/>
    </row>
    <row r="242" spans="1:7" ht="17.25" customHeight="1">
      <c r="A242" s="241"/>
      <c r="B242" s="241">
        <f>SUM(B240:B241)</f>
        <v>6</v>
      </c>
      <c r="C242" s="241"/>
      <c r="D242" s="241"/>
      <c r="E242" s="241">
        <f>SUM(E240:E241)</f>
        <v>614</v>
      </c>
      <c r="F242" s="195"/>
      <c r="G242" s="195"/>
    </row>
    <row r="243" spans="1:7" ht="17.25" customHeight="1">
      <c r="A243" s="299" t="s">
        <v>226</v>
      </c>
      <c r="B243" s="300"/>
      <c r="C243" s="301"/>
      <c r="D243" s="241"/>
      <c r="E243" s="242"/>
      <c r="F243" s="195"/>
      <c r="G243" s="195"/>
    </row>
    <row r="244" spans="1:7" ht="17.25" customHeight="1">
      <c r="A244" s="202">
        <v>1120</v>
      </c>
      <c r="B244" s="253">
        <v>19</v>
      </c>
      <c r="C244" s="253" t="s">
        <v>238</v>
      </c>
      <c r="D244" s="240" t="s">
        <v>445</v>
      </c>
      <c r="E244" s="252">
        <v>1957</v>
      </c>
      <c r="F244" s="195"/>
      <c r="G244" s="195"/>
    </row>
    <row r="245" spans="1:7" ht="17.25" customHeight="1">
      <c r="A245" s="156">
        <v>1121</v>
      </c>
      <c r="B245" s="250">
        <v>20</v>
      </c>
      <c r="C245" s="253" t="s">
        <v>235</v>
      </c>
      <c r="D245" s="254" t="s">
        <v>446</v>
      </c>
      <c r="E245" s="250">
        <v>1860</v>
      </c>
      <c r="F245" s="195"/>
      <c r="G245" s="195"/>
    </row>
    <row r="246" spans="1:7" ht="17.25" customHeight="1">
      <c r="A246" s="156">
        <v>1122</v>
      </c>
      <c r="B246" s="250">
        <v>12</v>
      </c>
      <c r="C246" s="253" t="s">
        <v>235</v>
      </c>
      <c r="D246" s="254" t="s">
        <v>447</v>
      </c>
      <c r="E246" s="250">
        <v>1134</v>
      </c>
      <c r="F246" s="195"/>
      <c r="G246" s="195"/>
    </row>
    <row r="247" spans="1:7" ht="17.25" customHeight="1">
      <c r="A247" s="46"/>
      <c r="B247" s="241">
        <f>SUM(B244:B246)</f>
        <v>51</v>
      </c>
      <c r="C247" s="241"/>
      <c r="D247" s="241"/>
      <c r="E247" s="242">
        <f>SUM(E244:E246)</f>
        <v>4951</v>
      </c>
      <c r="F247" s="195"/>
      <c r="G247" s="195"/>
    </row>
    <row r="248" spans="1:7" ht="17.25" customHeight="1">
      <c r="A248" s="241" t="s">
        <v>14</v>
      </c>
      <c r="B248" s="186">
        <f>B242+B247</f>
        <v>57</v>
      </c>
      <c r="C248" s="186"/>
      <c r="D248" s="186"/>
      <c r="E248" s="186">
        <f>E242+E247</f>
        <v>5565</v>
      </c>
      <c r="F248" s="195"/>
      <c r="G248" s="195"/>
    </row>
    <row r="249" spans="1:7" ht="17.25" customHeight="1">
      <c r="A249" s="242"/>
      <c r="B249" s="187"/>
      <c r="C249" s="188"/>
      <c r="D249" s="186"/>
      <c r="E249" s="186"/>
      <c r="F249" s="195"/>
      <c r="G249" s="195"/>
    </row>
    <row r="250" spans="1:8" s="2" customFormat="1" ht="21" customHeight="1">
      <c r="A250" s="315" t="s">
        <v>22</v>
      </c>
      <c r="B250" s="316"/>
      <c r="C250" s="317"/>
      <c r="D250" s="9"/>
      <c r="E250" s="11"/>
      <c r="H250" s="138"/>
    </row>
    <row r="251" spans="1:8" s="2" customFormat="1" ht="18" customHeight="1">
      <c r="A251" s="45"/>
      <c r="B251" s="190"/>
      <c r="C251" s="191"/>
      <c r="D251" s="49"/>
      <c r="E251" s="50">
        <f>SUM(E253:E256)</f>
        <v>3.54</v>
      </c>
      <c r="H251" s="138"/>
    </row>
    <row r="252" spans="1:18" ht="17.25" customHeight="1">
      <c r="A252" s="46" t="s">
        <v>5</v>
      </c>
      <c r="B252" s="293" t="s">
        <v>17</v>
      </c>
      <c r="C252" s="294"/>
      <c r="D252" s="189" t="s">
        <v>18</v>
      </c>
      <c r="E252" s="46" t="s">
        <v>7</v>
      </c>
      <c r="G252" s="128" t="str">
        <f>CONCATENATE("Cable Scrap, Lying at ",B253,". Quantity in MT - ")</f>
        <v>Cable Scrap, Lying at CS Ferozepur. Quantity in MT - </v>
      </c>
      <c r="H252" s="273" t="str">
        <f ca="1">CONCATENATE(G252,G253,(INDIRECT(I253)),(INDIRECT(J253)),(INDIRECT(K253)),(INDIRECT(L253)),(INDIRECT(M253)),(INDIRECT(N253)),(INDIRECT(O253)),(INDIRECT(P253)),(INDIRECT(Q253)),(INDIRECT(R253)))</f>
        <v>Cable Scrap, Lying at CS Ferozepur. Quantity in MT - 2/core PVC Alumn. Cable scrap - 0.591, 4/core PVC Alumn. Cable scrap - 0.301, 1/ core XLPE Alu cable scrap - 0.136, 3/ core XLPE Alu cable scrap - 2.512, </v>
      </c>
      <c r="I252" s="135" t="str">
        <f aca="true" ca="1" t="array" ref="I252">CELL("address",INDEX(G252:G276,MATCH(TRUE,ISBLANK(G252:G276),0)))</f>
        <v>$G$257</v>
      </c>
      <c r="J252" s="135">
        <f aca="true" t="array" ref="J252">MATCH(TRUE,ISBLANK(G252:G276),0)</f>
        <v>6</v>
      </c>
      <c r="K252" s="135">
        <f>J252-3</f>
        <v>3</v>
      </c>
      <c r="L252" s="135"/>
      <c r="M252" s="135"/>
      <c r="N252" s="135"/>
      <c r="O252" s="135"/>
      <c r="P252" s="135"/>
      <c r="Q252" s="135"/>
      <c r="R252" s="135"/>
    </row>
    <row r="253" spans="1:18" ht="15" customHeight="1">
      <c r="A253" s="274" t="s">
        <v>35</v>
      </c>
      <c r="B253" s="274" t="s">
        <v>100</v>
      </c>
      <c r="C253" s="274"/>
      <c r="D253" s="39" t="s">
        <v>91</v>
      </c>
      <c r="E253" s="261">
        <v>0.591</v>
      </c>
      <c r="F253" s="1">
        <v>0.169</v>
      </c>
      <c r="G253" s="126" t="str">
        <f>CONCATENATE(D253," - ",E253,", ")</f>
        <v>2/core PVC Alumn. Cable scrap - 0.591, </v>
      </c>
      <c r="H253" s="273"/>
      <c r="I253" s="135" t="str">
        <f ca="1">IF(J252&gt;=3,(MID(I252,2,1)&amp;MID(I252,4,3)-K252),CELL("address",Z253))</f>
        <v>G254</v>
      </c>
      <c r="J253" s="135" t="str">
        <f ca="1">IF(J252&gt;=4,(MID(I253,1,1)&amp;MID(I253,2,3)+1),CELL("address",AA253))</f>
        <v>G255</v>
      </c>
      <c r="K253" s="135" t="str">
        <f ca="1">IF(J252&gt;=5,(MID(J253,1,1)&amp;MID(J253,2,3)+1),CELL("address",AB253))</f>
        <v>G256</v>
      </c>
      <c r="L253" s="135" t="str">
        <f ca="1">IF(J252&gt;=6,(MID(K253,1,1)&amp;MID(K253,2,3)+1),CELL("address",AC253))</f>
        <v>G257</v>
      </c>
      <c r="M253" s="135" t="str">
        <f ca="1">IF(J252&gt;=7,(MID(L253,1,1)&amp;MID(L253,2,3)+1),CELL("address",AD253))</f>
        <v>$AD$253</v>
      </c>
      <c r="N253" s="135" t="str">
        <f ca="1">IF(J252&gt;=8,(MID(M253,1,1)&amp;MID(M253,2,3)+1),CELL("address",AE253))</f>
        <v>$AE$253</v>
      </c>
      <c r="O253" s="135" t="str">
        <f ca="1">IF(J252&gt;=9,(MID(N253,1,1)&amp;MID(N253,2,3)+1),CELL("address",AF253))</f>
        <v>$AF$253</v>
      </c>
      <c r="P253" s="135" t="str">
        <f ca="1">IF(J252&gt;=10,(MID(O253,1,1)&amp;MID(O253,2,3)+1),CELL("address",AG253))</f>
        <v>$AG$253</v>
      </c>
      <c r="Q253" s="135" t="str">
        <f ca="1">IF(J252&gt;=11,(MID(P253,1,1)&amp;MID(P253,2,3)+1),CELL("address",AH253))</f>
        <v>$AH$253</v>
      </c>
      <c r="R253" s="135" t="str">
        <f ca="1">IF(J252&gt;=12,(MID(Q253,1,1)&amp;MID(Q253,2,3)+1),CELL("address",AI253))</f>
        <v>$AI$253</v>
      </c>
    </row>
    <row r="254" spans="1:8" ht="15" customHeight="1">
      <c r="A254" s="274"/>
      <c r="B254" s="274"/>
      <c r="C254" s="274"/>
      <c r="D254" s="39" t="s">
        <v>92</v>
      </c>
      <c r="E254" s="261">
        <v>0.301</v>
      </c>
      <c r="F254" s="1">
        <v>0.14</v>
      </c>
      <c r="G254" s="126" t="str">
        <f>CONCATENATE(D254," - ",E254,", ")</f>
        <v>4/core PVC Alumn. Cable scrap - 0.301, </v>
      </c>
      <c r="H254" s="139"/>
    </row>
    <row r="255" spans="1:8" ht="15" customHeight="1">
      <c r="A255" s="274"/>
      <c r="B255" s="274"/>
      <c r="C255" s="274"/>
      <c r="D255" s="39" t="s">
        <v>98</v>
      </c>
      <c r="E255" s="39">
        <v>0.136</v>
      </c>
      <c r="F255" s="1">
        <v>0.001</v>
      </c>
      <c r="G255" s="126" t="str">
        <f>CONCATENATE(D255," - ",E255,", ")</f>
        <v>1/ core XLPE Alu cable scrap - 0.136, </v>
      </c>
      <c r="H255" s="139"/>
    </row>
    <row r="256" spans="1:8" ht="15" customHeight="1">
      <c r="A256" s="274"/>
      <c r="B256" s="274"/>
      <c r="C256" s="274"/>
      <c r="D256" s="39" t="s">
        <v>93</v>
      </c>
      <c r="E256" s="55">
        <v>2.512</v>
      </c>
      <c r="F256" s="1">
        <v>0.202</v>
      </c>
      <c r="G256" s="126" t="str">
        <f>CONCATENATE(D256," - ",E256,", ")</f>
        <v>3/ core XLPE Alu cable scrap - 2.512, </v>
      </c>
      <c r="H256" s="139"/>
    </row>
    <row r="257" spans="1:8" ht="15" customHeight="1">
      <c r="A257" s="45"/>
      <c r="B257" s="54"/>
      <c r="C257" s="263"/>
      <c r="D257" s="39"/>
      <c r="E257" s="55"/>
      <c r="G257" s="126"/>
      <c r="H257" s="139"/>
    </row>
    <row r="258" spans="1:8" ht="15" customHeight="1">
      <c r="A258" s="46"/>
      <c r="B258" s="302"/>
      <c r="C258" s="303"/>
      <c r="D258" s="257"/>
      <c r="E258" s="59">
        <f>SUM(E260:E263)</f>
        <v>2.889</v>
      </c>
      <c r="G258" s="126"/>
      <c r="H258" s="139"/>
    </row>
    <row r="259" spans="1:18" ht="15" customHeight="1">
      <c r="A259" s="46" t="s">
        <v>5</v>
      </c>
      <c r="B259" s="274" t="s">
        <v>17</v>
      </c>
      <c r="C259" s="274"/>
      <c r="D259" s="256" t="s">
        <v>18</v>
      </c>
      <c r="E259" s="46" t="s">
        <v>7</v>
      </c>
      <c r="G259" s="128" t="str">
        <f>CONCATENATE("Cable Scrap, Lying at ",B260,". Quantity in MT - ")</f>
        <v>Cable Scrap, Lying at OL Shri Muktsar Sahib. Quantity in MT - </v>
      </c>
      <c r="H259" s="273" t="str">
        <f ca="1">CONCATENATE(G259,G260,(INDIRECT(I260)),(INDIRECT(J260)),(INDIRECT(K260)),(INDIRECT(L260)),(INDIRECT(M260)),(INDIRECT(N260)),(INDIRECT(O260)),(INDIRECT(P260)),(INDIRECT(Q260)),(INDIRECT(R260)),".")</f>
        <v>Cable Scrap, Lying at OL Shri Muktsar Sahib. Quantity in MT - 4/core PVC Alumn. Cable scrap - 0.509, 3/ core XLPE Alu cable scrap - 1.75, 1/core PVC Alumn. Cable scrap - 0.141, 2/core PVC Alumn. Cable scrap - 0.489, .</v>
      </c>
      <c r="I259" s="135" t="str">
        <f aca="true" ca="1" t="array" ref="I259">CELL("address",INDEX(G259:G287,MATCH(TRUE,ISBLANK(G259:G287),0)))</f>
        <v>$G$264</v>
      </c>
      <c r="J259" s="135">
        <f aca="true" t="array" ref="J259">MATCH(TRUE,ISBLANK(G259:G287),0)</f>
        <v>6</v>
      </c>
      <c r="K259" s="135">
        <f>J259-3</f>
        <v>3</v>
      </c>
      <c r="L259" s="135"/>
      <c r="M259" s="135"/>
      <c r="N259" s="135"/>
      <c r="O259" s="135"/>
      <c r="P259" s="135"/>
      <c r="Q259" s="135"/>
      <c r="R259" s="135"/>
    </row>
    <row r="260" spans="1:18" ht="15" customHeight="1">
      <c r="A260" s="363" t="s">
        <v>94</v>
      </c>
      <c r="B260" s="281" t="s">
        <v>148</v>
      </c>
      <c r="C260" s="282"/>
      <c r="D260" s="39" t="s">
        <v>92</v>
      </c>
      <c r="E260" s="261">
        <v>0.509</v>
      </c>
      <c r="F260" s="1">
        <v>0.028</v>
      </c>
      <c r="G260" s="126" t="str">
        <f>CONCATENATE(D260," - ",E260,", ")</f>
        <v>4/core PVC Alumn. Cable scrap - 0.509, </v>
      </c>
      <c r="H260" s="273"/>
      <c r="I260" s="135" t="str">
        <f ca="1">IF(J259&gt;=3,(MID(I259,2,1)&amp;MID(I259,4,3)-K259),CELL("address",Z260))</f>
        <v>G261</v>
      </c>
      <c r="J260" s="135" t="str">
        <f ca="1">IF(J259&gt;=4,(MID(I260,1,1)&amp;MID(I260,2,3)+1),CELL("address",AA260))</f>
        <v>G262</v>
      </c>
      <c r="K260" s="135" t="str">
        <f ca="1">IF(J259&gt;=5,(MID(J260,1,1)&amp;MID(J260,2,3)+1),CELL("address",AB260))</f>
        <v>G263</v>
      </c>
      <c r="L260" s="135" t="str">
        <f ca="1">IF(J259&gt;=6,(MID(K260,1,1)&amp;MID(K260,2,3)+1),CELL("address",AC260))</f>
        <v>G264</v>
      </c>
      <c r="M260" s="135" t="str">
        <f ca="1">IF(J259&gt;=7,(MID(L260,1,1)&amp;MID(L260,2,3)+1),CELL("address",AD260))</f>
        <v>$AD$260</v>
      </c>
      <c r="N260" s="135" t="str">
        <f ca="1">IF(J259&gt;=8,(MID(M260,1,1)&amp;MID(M260,2,3)+1),CELL("address",AE260))</f>
        <v>$AE$260</v>
      </c>
      <c r="O260" s="135" t="str">
        <f ca="1">IF(J259&gt;=9,(MID(N260,1,1)&amp;MID(N260,2,3)+1),CELL("address",AF260))</f>
        <v>$AF$260</v>
      </c>
      <c r="P260" s="135" t="str">
        <f ca="1">IF(J259&gt;=10,(MID(O260,1,1)&amp;MID(O260,2,3)+1),CELL("address",AG260))</f>
        <v>$AG$260</v>
      </c>
      <c r="Q260" s="135" t="str">
        <f ca="1">IF(J259&gt;=11,(MID(P260,1,1)&amp;MID(P260,2,3)+1),CELL("address",AH260))</f>
        <v>$AH$260</v>
      </c>
      <c r="R260" s="135" t="str">
        <f ca="1">IF(J259&gt;=12,(MID(Q260,1,1)&amp;MID(Q260,2,3)+1),CELL("address",AI260))</f>
        <v>$AI$260</v>
      </c>
    </row>
    <row r="261" spans="1:8" ht="15" customHeight="1">
      <c r="A261" s="373"/>
      <c r="B261" s="283"/>
      <c r="C261" s="284"/>
      <c r="D261" s="39" t="s">
        <v>93</v>
      </c>
      <c r="E261" s="261">
        <v>1.75</v>
      </c>
      <c r="F261" s="1">
        <v>1.54</v>
      </c>
      <c r="G261" s="126" t="str">
        <f>CONCATENATE(D261," - ",E261,", ")</f>
        <v>3/ core XLPE Alu cable scrap - 1.75, </v>
      </c>
      <c r="H261" s="139"/>
    </row>
    <row r="262" spans="1:8" ht="15" customHeight="1">
      <c r="A262" s="373"/>
      <c r="B262" s="283"/>
      <c r="C262" s="284"/>
      <c r="D262" s="39" t="s">
        <v>178</v>
      </c>
      <c r="E262" s="238">
        <v>0.141</v>
      </c>
      <c r="F262" s="1" t="s">
        <v>408</v>
      </c>
      <c r="G262" s="126" t="str">
        <f>CONCATENATE(D262," - ",E262,", ")</f>
        <v>1/core PVC Alumn. Cable scrap - 0.141, </v>
      </c>
      <c r="H262" s="139"/>
    </row>
    <row r="263" spans="1:8" ht="15" customHeight="1">
      <c r="A263" s="374"/>
      <c r="B263" s="285"/>
      <c r="C263" s="286"/>
      <c r="D263" s="39" t="s">
        <v>91</v>
      </c>
      <c r="E263" s="238">
        <v>0.489</v>
      </c>
      <c r="F263" s="1" t="s">
        <v>408</v>
      </c>
      <c r="G263" s="126" t="str">
        <f>CONCATENATE(D263," - ",E263,", ")</f>
        <v>2/core PVC Alumn. Cable scrap - 0.489, </v>
      </c>
      <c r="H263" s="139"/>
    </row>
    <row r="264" spans="1:8" ht="15" customHeight="1">
      <c r="A264" s="46"/>
      <c r="B264" s="302"/>
      <c r="C264" s="303"/>
      <c r="D264" s="88"/>
      <c r="E264" s="94"/>
      <c r="G264" s="126"/>
      <c r="H264" s="139"/>
    </row>
    <row r="265" spans="1:8" ht="15" customHeight="1">
      <c r="A265" s="46"/>
      <c r="B265" s="302"/>
      <c r="C265" s="303"/>
      <c r="D265" s="258"/>
      <c r="E265" s="50">
        <f>SUM(E267:E270)</f>
        <v>2.236</v>
      </c>
      <c r="G265" s="126"/>
      <c r="H265" s="139"/>
    </row>
    <row r="266" spans="1:18" ht="15" customHeight="1">
      <c r="A266" s="46" t="s">
        <v>5</v>
      </c>
      <c r="B266" s="293" t="s">
        <v>17</v>
      </c>
      <c r="C266" s="294"/>
      <c r="D266" s="262" t="s">
        <v>18</v>
      </c>
      <c r="E266" s="46" t="s">
        <v>7</v>
      </c>
      <c r="G266" s="128" t="str">
        <f>CONCATENATE("Cable Scrap, Lying at ",B267,". Quantity in MT - ")</f>
        <v>Cable Scrap, Lying at OL Bhagta Bhai Ka. Quantity in MT - </v>
      </c>
      <c r="H266" s="273" t="str">
        <f ca="1">CONCATENATE(G266,G267,(INDIRECT(I267)),(INDIRECT(J267)),(INDIRECT(K267)),(INDIRECT(L267)),(INDIRECT(M267)),(INDIRECT(N267)),(INDIRECT(O267)),(INDIRECT(P267)),(INDIRECT(Q267)),(INDIRECT(R267)),".")</f>
        <v>Cable Scrap, Lying at OL Bhagta Bhai Ka. Quantity in MT - 4/core PVC Alumn. Cable scrap - 1.272, 2/core PVC Alumn. Cable scrap - 0.338, 3/ core XLPE Alu cable scrap - 0.224, ABC cable scrap (150 mm) - 0.402, .</v>
      </c>
      <c r="I266" s="135" t="str">
        <f aca="true" ca="1" t="array" ref="I266">CELL("address",INDEX(G266:G292,MATCH(TRUE,ISBLANK(G266:G292),0)))</f>
        <v>$G$271</v>
      </c>
      <c r="J266" s="135">
        <f aca="true" t="array" ref="J266">MATCH(TRUE,ISBLANK(G266:G292),0)</f>
        <v>6</v>
      </c>
      <c r="K266" s="135">
        <f>J266-3</f>
        <v>3</v>
      </c>
      <c r="L266" s="135"/>
      <c r="M266" s="135"/>
      <c r="N266" s="135"/>
      <c r="O266" s="135"/>
      <c r="P266" s="135"/>
      <c r="Q266" s="135"/>
      <c r="R266" s="135"/>
    </row>
    <row r="267" spans="1:18" ht="15" customHeight="1">
      <c r="A267" s="274" t="s">
        <v>95</v>
      </c>
      <c r="B267" s="274" t="s">
        <v>101</v>
      </c>
      <c r="C267" s="274"/>
      <c r="D267" s="51" t="s">
        <v>92</v>
      </c>
      <c r="E267" s="52">
        <v>1.272</v>
      </c>
      <c r="G267" s="126" t="str">
        <f>CONCATENATE(D267," - ",E267,", ")</f>
        <v>4/core PVC Alumn. Cable scrap - 1.272, </v>
      </c>
      <c r="H267" s="273"/>
      <c r="I267" s="135" t="str">
        <f ca="1">IF(J266&gt;=3,(MID(I266,2,1)&amp;MID(I266,4,3)-K266),CELL("address",Z267))</f>
        <v>G268</v>
      </c>
      <c r="J267" s="135" t="str">
        <f ca="1">IF(J266&gt;=4,(MID(I267,1,1)&amp;MID(I267,2,3)+1),CELL("address",AA267))</f>
        <v>G269</v>
      </c>
      <c r="K267" s="135" t="str">
        <f ca="1">IF(J266&gt;=5,(MID(J267,1,1)&amp;MID(J267,2,3)+1),CELL("address",AB267))</f>
        <v>G270</v>
      </c>
      <c r="L267" s="135" t="str">
        <f ca="1">IF(J266&gt;=6,(MID(K267,1,1)&amp;MID(K267,2,3)+1),CELL("address",AC267))</f>
        <v>G271</v>
      </c>
      <c r="M267" s="135" t="str">
        <f ca="1">IF(J266&gt;=7,(MID(L267,1,1)&amp;MID(L267,2,3)+1),CELL("address",AD267))</f>
        <v>$AD$267</v>
      </c>
      <c r="N267" s="135" t="str">
        <f ca="1">IF(J266&gt;=8,(MID(M267,1,1)&amp;MID(M267,2,3)+1),CELL("address",AE267))</f>
        <v>$AE$267</v>
      </c>
      <c r="O267" s="135" t="str">
        <f ca="1">IF(J266&gt;=9,(MID(N267,1,1)&amp;MID(N267,2,3)+1),CELL("address",AF267))</f>
        <v>$AF$267</v>
      </c>
      <c r="P267" s="135" t="str">
        <f ca="1">IF(J266&gt;=10,(MID(O267,1,1)&amp;MID(O267,2,3)+1),CELL("address",AG267))</f>
        <v>$AG$267</v>
      </c>
      <c r="Q267" s="135" t="str">
        <f ca="1">IF(J266&gt;=11,(MID(P267,1,1)&amp;MID(P267,2,3)+1),CELL("address",AH267))</f>
        <v>$AH$267</v>
      </c>
      <c r="R267" s="135" t="str">
        <f ca="1">IF(J266&gt;=12,(MID(Q267,1,1)&amp;MID(Q267,2,3)+1),CELL("address",AI267))</f>
        <v>$AI$267</v>
      </c>
    </row>
    <row r="268" spans="1:8" ht="15" customHeight="1">
      <c r="A268" s="274"/>
      <c r="B268" s="274"/>
      <c r="C268" s="274"/>
      <c r="D268" s="51" t="s">
        <v>91</v>
      </c>
      <c r="E268" s="94">
        <v>0.338</v>
      </c>
      <c r="G268" s="126" t="str">
        <f>CONCATENATE(D268," - ",E268,", ")</f>
        <v>2/core PVC Alumn. Cable scrap - 0.338, </v>
      </c>
      <c r="H268" s="139"/>
    </row>
    <row r="269" spans="1:8" ht="15" customHeight="1">
      <c r="A269" s="274"/>
      <c r="B269" s="274"/>
      <c r="C269" s="274"/>
      <c r="D269" s="51" t="s">
        <v>93</v>
      </c>
      <c r="E269" s="94">
        <v>0.224</v>
      </c>
      <c r="G269" s="126" t="str">
        <f>CONCATENATE(D269," - ",E269,", ")</f>
        <v>3/ core XLPE Alu cable scrap - 0.224, </v>
      </c>
      <c r="H269" s="139"/>
    </row>
    <row r="270" spans="1:8" ht="15" customHeight="1">
      <c r="A270" s="274"/>
      <c r="B270" s="274"/>
      <c r="C270" s="274"/>
      <c r="D270" s="51" t="s">
        <v>260</v>
      </c>
      <c r="E270" s="94">
        <v>0.402</v>
      </c>
      <c r="G270" s="126" t="str">
        <f>CONCATENATE(D270," - ",E270,", ")</f>
        <v>ABC cable scrap (150 mm) - 0.402, </v>
      </c>
      <c r="H270" s="139"/>
    </row>
    <row r="271" spans="1:8" ht="15" customHeight="1">
      <c r="A271" s="45"/>
      <c r="B271" s="47"/>
      <c r="C271" s="48"/>
      <c r="D271" s="88"/>
      <c r="E271" s="94"/>
      <c r="G271" s="126"/>
      <c r="H271" s="139"/>
    </row>
    <row r="272" spans="1:8" ht="15" customHeight="1">
      <c r="A272" s="46"/>
      <c r="B272" s="302"/>
      <c r="C272" s="303"/>
      <c r="D272" s="257"/>
      <c r="E272" s="59">
        <f>SUM(E274:E278)</f>
        <v>11.93</v>
      </c>
      <c r="G272" s="128"/>
      <c r="H272" s="139"/>
    </row>
    <row r="273" spans="1:18" ht="15" customHeight="1">
      <c r="A273" s="46" t="s">
        <v>5</v>
      </c>
      <c r="B273" s="274" t="s">
        <v>17</v>
      </c>
      <c r="C273" s="274"/>
      <c r="D273" s="256" t="s">
        <v>18</v>
      </c>
      <c r="E273" s="46" t="s">
        <v>7</v>
      </c>
      <c r="G273" s="128" t="str">
        <f>CONCATENATE("Cable Scrap, Lying at ",B274,". Quantity in MT - ")</f>
        <v>Cable Scrap, Lying at CS Bathinda. Quantity in MT - </v>
      </c>
      <c r="H273" s="273" t="str">
        <f ca="1">CONCATENATE(G273,G274,(INDIRECT(I274)),(INDIRECT(J274)),(INDIRECT(K274)),(INDIRECT(L274)),(INDIRECT(M274)),(INDIRECT(N274)),(INDIRECT(O274)),(INDIRECT(P274)),(INDIRECT(Q274)),(INDIRECT(R274)),".")</f>
        <v>Cable Scrap, Lying at CS Bathinda. Quantity in MT - 2/core PVC Alumn. Cable scrap - 0.3, 4/core PVC Alumn. Cable scrap - 1.722, 1/ core XLPE Alu cable scrap - 0.143, 3/ core XLPE Alu cable scrap - 4.831, ABC cable scrap (70/95 mm) - 4.934, .</v>
      </c>
      <c r="I273" s="135" t="str">
        <f aca="true" ca="1" t="array" ref="I273">CELL("address",INDEX(G273:G297,MATCH(TRUE,ISBLANK(G273:G297),0)))</f>
        <v>$G$279</v>
      </c>
      <c r="J273" s="135">
        <f aca="true" t="array" ref="J273">MATCH(TRUE,ISBLANK(G273:G297),0)</f>
        <v>7</v>
      </c>
      <c r="K273" s="135">
        <f>J273-3</f>
        <v>4</v>
      </c>
      <c r="L273" s="135"/>
      <c r="M273" s="135"/>
      <c r="N273" s="135"/>
      <c r="O273" s="135"/>
      <c r="P273" s="135"/>
      <c r="Q273" s="135"/>
      <c r="R273" s="135"/>
    </row>
    <row r="274" spans="1:18" ht="15" customHeight="1">
      <c r="A274" s="274" t="s">
        <v>97</v>
      </c>
      <c r="B274" s="274" t="s">
        <v>64</v>
      </c>
      <c r="C274" s="274"/>
      <c r="D274" s="39" t="s">
        <v>91</v>
      </c>
      <c r="E274" s="261">
        <v>0.3</v>
      </c>
      <c r="F274" s="1">
        <v>0.157</v>
      </c>
      <c r="G274" s="126" t="str">
        <f>CONCATENATE(D274," - ",E274,", ")</f>
        <v>2/core PVC Alumn. Cable scrap - 0.3, </v>
      </c>
      <c r="H274" s="273"/>
      <c r="I274" s="135" t="str">
        <f ca="1">IF(J273&gt;=3,(MID(I273,2,1)&amp;MID(I273,4,3)-K273),CELL("address",Z274))</f>
        <v>G275</v>
      </c>
      <c r="J274" s="135" t="str">
        <f ca="1">IF(J273&gt;=4,(MID(I274,1,1)&amp;MID(I274,2,3)+1),CELL("address",AA274))</f>
        <v>G276</v>
      </c>
      <c r="K274" s="135" t="str">
        <f ca="1">IF(J273&gt;=5,(MID(J274,1,1)&amp;MID(J274,2,3)+1),CELL("address",AB274))</f>
        <v>G277</v>
      </c>
      <c r="L274" s="135" t="str">
        <f ca="1">IF(J273&gt;=6,(MID(K274,1,1)&amp;MID(K274,2,3)+1),CELL("address",AC274))</f>
        <v>G278</v>
      </c>
      <c r="M274" s="135" t="str">
        <f ca="1">IF(J273&gt;=7,(MID(L274,1,1)&amp;MID(L274,2,3)+1),CELL("address",AD274))</f>
        <v>G279</v>
      </c>
      <c r="N274" s="135" t="str">
        <f ca="1">IF(J273&gt;=8,(MID(M274,1,1)&amp;MID(M274,2,3)+1),CELL("address",AE274))</f>
        <v>$AE$274</v>
      </c>
      <c r="O274" s="135" t="str">
        <f ca="1">IF(J273&gt;=9,(MID(N274,1,1)&amp;MID(N274,2,3)+1),CELL("address",AF274))</f>
        <v>$AF$274</v>
      </c>
      <c r="P274" s="135" t="str">
        <f ca="1">IF(J273&gt;=10,(MID(O274,1,1)&amp;MID(O274,2,3)+1),CELL("address",AG274))</f>
        <v>$AG$274</v>
      </c>
      <c r="Q274" s="135" t="str">
        <f ca="1">IF(J273&gt;=11,(MID(P274,1,1)&amp;MID(P274,2,3)+1),CELL("address",AH274))</f>
        <v>$AH$274</v>
      </c>
      <c r="R274" s="135" t="str">
        <f ca="1">IF(J273&gt;=12,(MID(Q274,1,1)&amp;MID(Q274,2,3)+1),CELL("address",AI274))</f>
        <v>$AI$274</v>
      </c>
    </row>
    <row r="275" spans="1:8" ht="15" customHeight="1">
      <c r="A275" s="274"/>
      <c r="B275" s="274"/>
      <c r="C275" s="274"/>
      <c r="D275" s="39" t="s">
        <v>92</v>
      </c>
      <c r="E275" s="261">
        <v>1.722</v>
      </c>
      <c r="F275" s="1">
        <v>1.299</v>
      </c>
      <c r="G275" s="126" t="str">
        <f>CONCATENATE(D275," - ",E275,", ")</f>
        <v>4/core PVC Alumn. Cable scrap - 1.722, </v>
      </c>
      <c r="H275" s="139"/>
    </row>
    <row r="276" spans="1:8" ht="15" customHeight="1">
      <c r="A276" s="274"/>
      <c r="B276" s="274"/>
      <c r="C276" s="274"/>
      <c r="D276" s="51" t="s">
        <v>98</v>
      </c>
      <c r="E276" s="53">
        <v>0.143</v>
      </c>
      <c r="G276" s="126" t="str">
        <f>CONCATENATE(D276," - ",E276,", ")</f>
        <v>1/ core XLPE Alu cable scrap - 0.143, </v>
      </c>
      <c r="H276" s="139"/>
    </row>
    <row r="277" spans="1:8" ht="15" customHeight="1">
      <c r="A277" s="274"/>
      <c r="B277" s="274"/>
      <c r="C277" s="274"/>
      <c r="D277" s="39" t="s">
        <v>93</v>
      </c>
      <c r="E277" s="96">
        <v>4.831</v>
      </c>
      <c r="F277" s="1">
        <v>3.689</v>
      </c>
      <c r="G277" s="126" t="str">
        <f>CONCATENATE(D277," - ",E277,", ")</f>
        <v>3/ core XLPE Alu cable scrap - 4.831, </v>
      </c>
      <c r="H277" s="139"/>
    </row>
    <row r="278" spans="1:8" ht="15" customHeight="1">
      <c r="A278" s="274"/>
      <c r="B278" s="274"/>
      <c r="C278" s="274"/>
      <c r="D278" s="51" t="s">
        <v>175</v>
      </c>
      <c r="E278" s="89">
        <v>4.934</v>
      </c>
      <c r="G278" s="126" t="str">
        <f>CONCATENATE(D278," - ",E278,", ")</f>
        <v>ABC cable scrap (70/95 mm) - 4.934, </v>
      </c>
      <c r="H278" s="139"/>
    </row>
    <row r="279" spans="1:8" ht="15" customHeight="1">
      <c r="A279" s="45"/>
      <c r="B279" s="47"/>
      <c r="C279" s="48"/>
      <c r="D279" s="95"/>
      <c r="E279" s="96"/>
      <c r="G279" s="126"/>
      <c r="H279" s="139"/>
    </row>
    <row r="280" spans="1:8" ht="15" customHeight="1">
      <c r="A280" s="45"/>
      <c r="B280" s="266"/>
      <c r="C280" s="267"/>
      <c r="D280" s="258"/>
      <c r="E280" s="50">
        <f>SUM(E282:E285)</f>
        <v>3.4909999999999997</v>
      </c>
      <c r="G280" s="126"/>
      <c r="H280" s="139"/>
    </row>
    <row r="281" spans="1:18" ht="15" customHeight="1">
      <c r="A281" s="46" t="s">
        <v>5</v>
      </c>
      <c r="B281" s="293" t="s">
        <v>17</v>
      </c>
      <c r="C281" s="294"/>
      <c r="D281" s="262" t="s">
        <v>18</v>
      </c>
      <c r="E281" s="46" t="s">
        <v>7</v>
      </c>
      <c r="G281" s="128" t="str">
        <f>CONCATENATE("Cable Scrap, Lying at ",B282,". Quantity in MT - ")</f>
        <v>Cable Scrap, Lying at OL Mansa. Quantity in MT - </v>
      </c>
      <c r="H281" s="273" t="str">
        <f ca="1">CONCATENATE(G281,G282,(INDIRECT(I282)),(INDIRECT(J282)),(INDIRECT(K282)),(INDIRECT(L282)),(INDIRECT(M282)),(INDIRECT(N282)),(INDIRECT(O282)),(INDIRECT(P282)),(INDIRECT(Q282)),(INDIRECT(R282)),".")</f>
        <v>Cable Scrap, Lying at OL Mansa. Quantity in MT - 2/core PVC Alumn. Cable scrap - 0.487, 4/core PVC Alumn. Cable scrap - 1.528, 3/ core XLPE Alu cable scrap - 1.386, ABC cable scrap (70/95 mm) - 0.09, .</v>
      </c>
      <c r="I281" s="135" t="str">
        <f aca="true" ca="1" t="array" ref="I281">CELL("address",INDEX(G281:G304,MATCH(TRUE,ISBLANK(G281:G304),0)))</f>
        <v>$G$286</v>
      </c>
      <c r="J281" s="135">
        <f aca="true" t="array" ref="J281">MATCH(TRUE,ISBLANK(G281:G304),0)</f>
        <v>6</v>
      </c>
      <c r="K281" s="135">
        <f>J281-3</f>
        <v>3</v>
      </c>
      <c r="L281" s="135"/>
      <c r="M281" s="135"/>
      <c r="N281" s="135"/>
      <c r="O281" s="135"/>
      <c r="P281" s="135"/>
      <c r="Q281" s="135"/>
      <c r="R281" s="135"/>
    </row>
    <row r="282" spans="1:18" ht="15" customHeight="1">
      <c r="A282" s="274" t="s">
        <v>197</v>
      </c>
      <c r="B282" s="274" t="s">
        <v>60</v>
      </c>
      <c r="C282" s="274"/>
      <c r="D282" s="39" t="s">
        <v>91</v>
      </c>
      <c r="E282" s="261">
        <v>0.487</v>
      </c>
      <c r="F282" s="1">
        <v>0.369</v>
      </c>
      <c r="G282" s="126" t="str">
        <f>CONCATENATE(D282," - ",E282,", ")</f>
        <v>2/core PVC Alumn. Cable scrap - 0.487, </v>
      </c>
      <c r="H282" s="273"/>
      <c r="I282" s="135" t="str">
        <f ca="1">IF(J281&gt;=3,(MID(I281,2,1)&amp;MID(I281,4,3)-K281),CELL("address",Z282))</f>
        <v>G283</v>
      </c>
      <c r="J282" s="135" t="str">
        <f ca="1">IF(J281&gt;=4,(MID(I282,1,1)&amp;MID(I282,2,3)+1),CELL("address",AA282))</f>
        <v>G284</v>
      </c>
      <c r="K282" s="135" t="str">
        <f ca="1">IF(J281&gt;=5,(MID(J282,1,1)&amp;MID(J282,2,3)+1),CELL("address",AB282))</f>
        <v>G285</v>
      </c>
      <c r="L282" s="135" t="str">
        <f ca="1">IF(J281&gt;=6,(MID(K282,1,1)&amp;MID(K282,2,3)+1),CELL("address",AC282))</f>
        <v>G286</v>
      </c>
      <c r="M282" s="135" t="str">
        <f ca="1">IF(J281&gt;=7,(MID(L282,1,1)&amp;MID(L282,2,3)+1),CELL("address",AD282))</f>
        <v>$AD$282</v>
      </c>
      <c r="N282" s="135" t="str">
        <f ca="1">IF(J281&gt;=8,(MID(M282,1,1)&amp;MID(M282,2,3)+1),CELL("address",AE282))</f>
        <v>$AE$282</v>
      </c>
      <c r="O282" s="135" t="str">
        <f ca="1">IF(J281&gt;=9,(MID(N282,1,1)&amp;MID(N282,2,3)+1),CELL("address",AF282))</f>
        <v>$AF$282</v>
      </c>
      <c r="P282" s="135" t="str">
        <f ca="1">IF(J281&gt;=10,(MID(O282,1,1)&amp;MID(O282,2,3)+1),CELL("address",AG282))</f>
        <v>$AG$282</v>
      </c>
      <c r="Q282" s="135" t="str">
        <f ca="1">IF(J281&gt;=11,(MID(P282,1,1)&amp;MID(P282,2,3)+1),CELL("address",AH282))</f>
        <v>$AH$282</v>
      </c>
      <c r="R282" s="135" t="str">
        <f ca="1">IF(J281&gt;=12,(MID(Q282,1,1)&amp;MID(Q282,2,3)+1),CELL("address",AI282))</f>
        <v>$AI$282</v>
      </c>
    </row>
    <row r="283" spans="1:8" ht="15" customHeight="1">
      <c r="A283" s="274"/>
      <c r="B283" s="274"/>
      <c r="C283" s="274"/>
      <c r="D283" s="39" t="s">
        <v>92</v>
      </c>
      <c r="E283" s="261">
        <v>1.528</v>
      </c>
      <c r="F283" s="1">
        <v>1.149</v>
      </c>
      <c r="G283" s="126" t="str">
        <f>CONCATENATE(D283," - ",E283,", ")</f>
        <v>4/core PVC Alumn. Cable scrap - 1.528, </v>
      </c>
      <c r="H283" s="139"/>
    </row>
    <row r="284" spans="1:8" ht="15" customHeight="1">
      <c r="A284" s="274"/>
      <c r="B284" s="274"/>
      <c r="C284" s="274"/>
      <c r="D284" s="51" t="s">
        <v>93</v>
      </c>
      <c r="E284" s="52">
        <v>1.386</v>
      </c>
      <c r="G284" s="126" t="str">
        <f>CONCATENATE(D284," - ",E284,", ")</f>
        <v>3/ core XLPE Alu cable scrap - 1.386, </v>
      </c>
      <c r="H284" s="139"/>
    </row>
    <row r="285" spans="1:8" ht="15" customHeight="1">
      <c r="A285" s="274"/>
      <c r="B285" s="274"/>
      <c r="C285" s="274"/>
      <c r="D285" s="39" t="s">
        <v>175</v>
      </c>
      <c r="E285" s="238">
        <v>0.09</v>
      </c>
      <c r="F285" s="1" t="s">
        <v>408</v>
      </c>
      <c r="G285" s="126" t="str">
        <f>CONCATENATE(D285," - ",E285,", ")</f>
        <v>ABC cable scrap (70/95 mm) - 0.09, </v>
      </c>
      <c r="H285" s="139"/>
    </row>
    <row r="286" spans="1:8" ht="15" customHeight="1">
      <c r="A286" s="45"/>
      <c r="B286" s="47"/>
      <c r="C286" s="48"/>
      <c r="D286" s="95"/>
      <c r="E286" s="96"/>
      <c r="G286" s="126"/>
      <c r="H286" s="139"/>
    </row>
    <row r="287" spans="1:8" ht="15" customHeight="1">
      <c r="A287" s="45"/>
      <c r="B287" s="266"/>
      <c r="C287" s="267"/>
      <c r="D287" s="258"/>
      <c r="E287" s="50">
        <f>SUM(E289:E291)</f>
        <v>4.282</v>
      </c>
      <c r="G287" s="126"/>
      <c r="H287" s="139"/>
    </row>
    <row r="288" spans="1:18" ht="15" customHeight="1">
      <c r="A288" s="46" t="s">
        <v>5</v>
      </c>
      <c r="B288" s="293" t="s">
        <v>17</v>
      </c>
      <c r="C288" s="294"/>
      <c r="D288" s="262" t="s">
        <v>18</v>
      </c>
      <c r="E288" s="46" t="s">
        <v>7</v>
      </c>
      <c r="G288" s="128" t="str">
        <f>CONCATENATE("Cable Scrap, Lying at ",B289,". Quantity in MT - ")</f>
        <v>Cable Scrap, Lying at CS Kotkapura. Quantity in MT - </v>
      </c>
      <c r="H288" s="273" t="str">
        <f ca="1">CONCATENATE(G288,G289,(INDIRECT(I289)),(INDIRECT(J289)),(INDIRECT(K289)),(INDIRECT(L289)),(INDIRECT(M289)),(INDIRECT(N289)),(INDIRECT(O289)),(INDIRECT(P289)),(INDIRECT(Q289)),(INDIRECT(R289)),".")</f>
        <v>Cable Scrap, Lying at CS Kotkapura. Quantity in MT - 2/core PVC Alumn. Cable scrap - 0.832, 4/core PVC Alumn. Cable scrap - 1.556, 3/ core XLPE Alu cable scrap - 1.894, .</v>
      </c>
      <c r="I288" s="135" t="str">
        <f aca="true" ca="1" t="array" ref="I288">CELL("address",INDEX(G288:G312,MATCH(TRUE,ISBLANK(G288:G312),0)))</f>
        <v>$G$292</v>
      </c>
      <c r="J288" s="135">
        <f aca="true" t="array" ref="J288">MATCH(TRUE,ISBLANK(G288:G312),0)</f>
        <v>5</v>
      </c>
      <c r="K288" s="135">
        <f>J288-3</f>
        <v>2</v>
      </c>
      <c r="L288" s="135"/>
      <c r="M288" s="135"/>
      <c r="N288" s="135"/>
      <c r="O288" s="135"/>
      <c r="P288" s="135"/>
      <c r="Q288" s="135"/>
      <c r="R288" s="135"/>
    </row>
    <row r="289" spans="1:18" ht="15" customHeight="1">
      <c r="A289" s="274" t="s">
        <v>199</v>
      </c>
      <c r="B289" s="274" t="s">
        <v>43</v>
      </c>
      <c r="C289" s="274"/>
      <c r="D289" s="51" t="s">
        <v>91</v>
      </c>
      <c r="E289" s="52">
        <v>0.832</v>
      </c>
      <c r="G289" s="126" t="str">
        <f>CONCATENATE(D289," - ",E289,", ")</f>
        <v>2/core PVC Alumn. Cable scrap - 0.832, </v>
      </c>
      <c r="H289" s="273"/>
      <c r="I289" s="135" t="str">
        <f ca="1">IF(J288&gt;=3,(MID(I288,2,1)&amp;MID(I288,4,3)-K288),CELL("address",Z289))</f>
        <v>G290</v>
      </c>
      <c r="J289" s="135" t="str">
        <f ca="1">IF(J288&gt;=4,(MID(I289,1,1)&amp;MID(I289,2,3)+1),CELL("address",AA289))</f>
        <v>G291</v>
      </c>
      <c r="K289" s="135" t="str">
        <f ca="1">IF(J288&gt;=5,(MID(J289,1,1)&amp;MID(J289,2,3)+1),CELL("address",AB289))</f>
        <v>G292</v>
      </c>
      <c r="L289" s="135" t="str">
        <f ca="1">IF(J288&gt;=6,(MID(K289,1,1)&amp;MID(K289,2,3)+1),CELL("address",AC289))</f>
        <v>$AC$289</v>
      </c>
      <c r="M289" s="135" t="str">
        <f ca="1">IF(J288&gt;=7,(MID(L289,1,1)&amp;MID(L289,2,3)+1),CELL("address",AD289))</f>
        <v>$AD$289</v>
      </c>
      <c r="N289" s="135" t="str">
        <f ca="1">IF(J288&gt;=8,(MID(M289,1,1)&amp;MID(M289,2,3)+1),CELL("address",AE289))</f>
        <v>$AE$289</v>
      </c>
      <c r="O289" s="135" t="str">
        <f ca="1">IF(J288&gt;=9,(MID(N289,1,1)&amp;MID(N289,2,3)+1),CELL("address",AF289))</f>
        <v>$AF$289</v>
      </c>
      <c r="P289" s="135" t="str">
        <f ca="1">IF(J288&gt;=10,(MID(O289,1,1)&amp;MID(O289,2,3)+1),CELL("address",AG289))</f>
        <v>$AG$289</v>
      </c>
      <c r="Q289" s="135" t="str">
        <f ca="1">IF(J288&gt;=11,(MID(P289,1,1)&amp;MID(P289,2,3)+1),CELL("address",AH289))</f>
        <v>$AH$289</v>
      </c>
      <c r="R289" s="135" t="str">
        <f ca="1">IF(J288&gt;=12,(MID(Q289,1,1)&amp;MID(Q289,2,3)+1),CELL("address",AI289))</f>
        <v>$AI$289</v>
      </c>
    </row>
    <row r="290" spans="1:8" ht="15" customHeight="1">
      <c r="A290" s="274"/>
      <c r="B290" s="274"/>
      <c r="C290" s="274"/>
      <c r="D290" s="51" t="s">
        <v>92</v>
      </c>
      <c r="E290" s="52">
        <v>1.556</v>
      </c>
      <c r="G290" s="126" t="str">
        <f>CONCATENATE(D290," - ",E290,", ")</f>
        <v>4/core PVC Alumn. Cable scrap - 1.556, </v>
      </c>
      <c r="H290" s="139"/>
    </row>
    <row r="291" spans="1:8" ht="15" customHeight="1">
      <c r="A291" s="274"/>
      <c r="B291" s="274"/>
      <c r="C291" s="274"/>
      <c r="D291" s="51" t="s">
        <v>93</v>
      </c>
      <c r="E291" s="53">
        <v>1.894</v>
      </c>
      <c r="G291" s="126" t="str">
        <f>CONCATENATE(D291," - ",E291,", ")</f>
        <v>3/ core XLPE Alu cable scrap - 1.894, </v>
      </c>
      <c r="H291" s="139"/>
    </row>
    <row r="292" spans="1:8" ht="15" customHeight="1">
      <c r="A292" s="45"/>
      <c r="B292" s="47"/>
      <c r="C292" s="48"/>
      <c r="D292" s="39"/>
      <c r="E292" s="55"/>
      <c r="G292" s="126"/>
      <c r="H292" s="139"/>
    </row>
    <row r="293" spans="1:8" ht="15" customHeight="1">
      <c r="A293" s="45"/>
      <c r="B293" s="266"/>
      <c r="C293" s="267"/>
      <c r="D293" s="258"/>
      <c r="E293" s="50">
        <f>SUM(E295:E298)</f>
        <v>3.3850000000000002</v>
      </c>
      <c r="G293" s="126"/>
      <c r="H293" s="139"/>
    </row>
    <row r="294" spans="1:18" ht="15" customHeight="1">
      <c r="A294" s="46" t="s">
        <v>5</v>
      </c>
      <c r="B294" s="293" t="s">
        <v>17</v>
      </c>
      <c r="C294" s="294"/>
      <c r="D294" s="262" t="s">
        <v>18</v>
      </c>
      <c r="E294" s="46" t="s">
        <v>7</v>
      </c>
      <c r="G294" s="128" t="str">
        <f>CONCATENATE("Cable Scrap, Lying at ",B295,". Quantity in MT - ")</f>
        <v>Cable Scrap, Lying at OL Patran. Quantity in MT - </v>
      </c>
      <c r="H294" s="273" t="str">
        <f ca="1">CONCATENATE(G294,G295,(INDIRECT(I295)),(INDIRECT(J295)),(INDIRECT(K295)),(INDIRECT(L295)),(INDIRECT(M295)),(INDIRECT(N295)),(INDIRECT(O295)),(INDIRECT(P295)),(INDIRECT(Q295)),(INDIRECT(R295)),".")</f>
        <v>Cable Scrap, Lying at OL Patran. Quantity in MT - 2/core PVC Alumn. Cable scrap - 0.515, 4/core PVC Alumn. Cable scrap - 0.912, 3/ core XLPE Alu cable scrap - 1.693, ABC cable scrap (150 mm) - 0.265, .</v>
      </c>
      <c r="I294" s="135" t="str">
        <f aca="true" ca="1" t="array" ref="I294">CELL("address",INDEX(G294:G318,MATCH(TRUE,ISBLANK(G294:G318),0)))</f>
        <v>$G$299</v>
      </c>
      <c r="J294" s="135">
        <f aca="true" t="array" ref="J294">MATCH(TRUE,ISBLANK(G294:G318),0)</f>
        <v>6</v>
      </c>
      <c r="K294" s="135">
        <f>J294-3</f>
        <v>3</v>
      </c>
      <c r="L294" s="135"/>
      <c r="M294" s="135"/>
      <c r="N294" s="135"/>
      <c r="O294" s="135"/>
      <c r="P294" s="135"/>
      <c r="Q294" s="135"/>
      <c r="R294" s="135"/>
    </row>
    <row r="295" spans="1:18" ht="15" customHeight="1">
      <c r="A295" s="274" t="s">
        <v>174</v>
      </c>
      <c r="B295" s="274" t="s">
        <v>103</v>
      </c>
      <c r="C295" s="274"/>
      <c r="D295" s="39" t="s">
        <v>91</v>
      </c>
      <c r="E295" s="261">
        <v>0.515</v>
      </c>
      <c r="F295" s="1">
        <v>0.435</v>
      </c>
      <c r="G295" s="126" t="str">
        <f>CONCATENATE(D295," - ",E295,", ")</f>
        <v>2/core PVC Alumn. Cable scrap - 0.515, </v>
      </c>
      <c r="H295" s="273"/>
      <c r="I295" s="135" t="str">
        <f ca="1">IF(J294&gt;=3,(MID(I294,2,1)&amp;MID(I294,4,3)-K294),CELL("address",Z295))</f>
        <v>G296</v>
      </c>
      <c r="J295" s="135" t="str">
        <f ca="1">IF(J294&gt;=4,(MID(I295,1,1)&amp;MID(I295,2,3)+1),CELL("address",AA295))</f>
        <v>G297</v>
      </c>
      <c r="K295" s="135" t="str">
        <f ca="1">IF(J294&gt;=5,(MID(J295,1,1)&amp;MID(J295,2,3)+1),CELL("address",AB295))</f>
        <v>G298</v>
      </c>
      <c r="L295" s="135" t="str">
        <f ca="1">IF(J294&gt;=6,(MID(K295,1,1)&amp;MID(K295,2,3)+1),CELL("address",AC295))</f>
        <v>G299</v>
      </c>
      <c r="M295" s="135" t="str">
        <f ca="1">IF(J294&gt;=7,(MID(L295,1,1)&amp;MID(L295,2,3)+1),CELL("address",AD295))</f>
        <v>$AD$295</v>
      </c>
      <c r="N295" s="135" t="str">
        <f ca="1">IF(J294&gt;=8,(MID(M295,1,1)&amp;MID(M295,2,3)+1),CELL("address",AE295))</f>
        <v>$AE$295</v>
      </c>
      <c r="O295" s="135" t="str">
        <f ca="1">IF(J294&gt;=9,(MID(N295,1,1)&amp;MID(N295,2,3)+1),CELL("address",AF295))</f>
        <v>$AF$295</v>
      </c>
      <c r="P295" s="135" t="str">
        <f ca="1">IF(J294&gt;=10,(MID(O295,1,1)&amp;MID(O295,2,3)+1),CELL("address",AG295))</f>
        <v>$AG$295</v>
      </c>
      <c r="Q295" s="135" t="str">
        <f ca="1">IF(J294&gt;=11,(MID(P295,1,1)&amp;MID(P295,2,3)+1),CELL("address",AH295))</f>
        <v>$AH$295</v>
      </c>
      <c r="R295" s="135" t="str">
        <f ca="1">IF(J294&gt;=12,(MID(Q295,1,1)&amp;MID(Q295,2,3)+1),CELL("address",AI295))</f>
        <v>$AI$295</v>
      </c>
    </row>
    <row r="296" spans="1:8" ht="15" customHeight="1">
      <c r="A296" s="274"/>
      <c r="B296" s="274"/>
      <c r="C296" s="274"/>
      <c r="D296" s="39" t="s">
        <v>92</v>
      </c>
      <c r="E296" s="261">
        <v>0.912</v>
      </c>
      <c r="F296" s="1">
        <v>0.745</v>
      </c>
      <c r="G296" s="126" t="str">
        <f>CONCATENATE(D296," - ",E296,", ")</f>
        <v>4/core PVC Alumn. Cable scrap - 0.912, </v>
      </c>
      <c r="H296" s="140"/>
    </row>
    <row r="297" spans="1:8" ht="15" customHeight="1">
      <c r="A297" s="274"/>
      <c r="B297" s="274"/>
      <c r="C297" s="274"/>
      <c r="D297" s="39" t="s">
        <v>93</v>
      </c>
      <c r="E297" s="261">
        <v>1.693</v>
      </c>
      <c r="F297" s="1">
        <v>1.475</v>
      </c>
      <c r="G297" s="126" t="str">
        <f>CONCATENATE(D297," - ",E297,", ")</f>
        <v>3/ core XLPE Alu cable scrap - 1.693, </v>
      </c>
      <c r="H297" s="139"/>
    </row>
    <row r="298" spans="1:8" ht="15" customHeight="1">
      <c r="A298" s="274"/>
      <c r="B298" s="274"/>
      <c r="C298" s="274"/>
      <c r="D298" s="51" t="s">
        <v>260</v>
      </c>
      <c r="E298" s="52">
        <v>0.265</v>
      </c>
      <c r="F298" s="1">
        <v>0.265</v>
      </c>
      <c r="G298" s="126" t="str">
        <f>CONCATENATE(D298," - ",E298,", ")</f>
        <v>ABC cable scrap (150 mm) - 0.265, </v>
      </c>
      <c r="H298" s="139"/>
    </row>
    <row r="299" spans="1:8" ht="15" customHeight="1">
      <c r="A299" s="45"/>
      <c r="B299" s="47"/>
      <c r="C299" s="48"/>
      <c r="D299" s="39"/>
      <c r="E299" s="55"/>
      <c r="G299" s="126"/>
      <c r="H299" s="139"/>
    </row>
    <row r="300" spans="1:8" ht="15" customHeight="1">
      <c r="A300" s="45"/>
      <c r="B300" s="54"/>
      <c r="C300" s="263"/>
      <c r="D300" s="257"/>
      <c r="E300" s="103">
        <f>SUM(E302:E306)</f>
        <v>2.2390000000000003</v>
      </c>
      <c r="G300" s="128"/>
      <c r="H300" s="139"/>
    </row>
    <row r="301" spans="1:18" ht="15" customHeight="1">
      <c r="A301" s="46" t="s">
        <v>5</v>
      </c>
      <c r="B301" s="293" t="s">
        <v>17</v>
      </c>
      <c r="C301" s="294"/>
      <c r="D301" s="262" t="s">
        <v>18</v>
      </c>
      <c r="E301" s="46" t="s">
        <v>7</v>
      </c>
      <c r="G301" s="128" t="str">
        <f>CONCATENATE("Cable Scrap, Lying at ",B302,". Quantity in MT - ")</f>
        <v>Cable Scrap, Lying at OL Ropar. Quantity in MT - </v>
      </c>
      <c r="H301" s="273" t="str">
        <f ca="1">CONCATENATE(G301,G302,(INDIRECT(I302)),(INDIRECT(J302)),(INDIRECT(K302)),(INDIRECT(L302)),(INDIRECT(M302)),(INDIRECT(N302)),(INDIRECT(O302)),(INDIRECT(P302)),(INDIRECT(Q302)),(INDIRECT(R302)),".")</f>
        <v>Cable Scrap, Lying at OL Ropar. Quantity in MT - 2/core PVC Alumn. Cable scrap - 0.364, 4/core PVC Alumn. Cable scrap - 0.406, 3/ core XLPE Alu cable scrap - 1.425, 1/core PVC Alumn. Cable scrap - 0.017, Alu.  seals scrap with lash wire - 0.027, .</v>
      </c>
      <c r="I301" s="135" t="str">
        <f aca="true" ca="1" t="array" ref="I301">CELL("address",INDEX(G301:G325,MATCH(TRUE,ISBLANK(G301:G325),0)))</f>
        <v>$G$307</v>
      </c>
      <c r="J301" s="135">
        <f aca="true" t="array" ref="J301">MATCH(TRUE,ISBLANK(G301:G325),0)</f>
        <v>7</v>
      </c>
      <c r="K301" s="135">
        <f>J301-3</f>
        <v>4</v>
      </c>
      <c r="L301" s="135"/>
      <c r="M301" s="135"/>
      <c r="N301" s="135"/>
      <c r="O301" s="135"/>
      <c r="P301" s="135"/>
      <c r="Q301" s="135"/>
      <c r="R301" s="135"/>
    </row>
    <row r="302" spans="1:18" ht="15" customHeight="1">
      <c r="A302" s="274" t="s">
        <v>176</v>
      </c>
      <c r="B302" s="274" t="s">
        <v>99</v>
      </c>
      <c r="C302" s="274"/>
      <c r="D302" s="39" t="s">
        <v>91</v>
      </c>
      <c r="E302" s="55">
        <v>0.364</v>
      </c>
      <c r="F302" s="1">
        <v>0.203</v>
      </c>
      <c r="G302" s="126" t="str">
        <f>CONCATENATE(D302," - ",E302,", ")</f>
        <v>2/core PVC Alumn. Cable scrap - 0.364, </v>
      </c>
      <c r="H302" s="273"/>
      <c r="I302" s="135" t="str">
        <f ca="1">IF(J301&gt;=3,(MID(I301,2,1)&amp;MID(I301,4,3)-K301),CELL("address",Z302))</f>
        <v>G303</v>
      </c>
      <c r="J302" s="135" t="str">
        <f ca="1">IF(J301&gt;=4,(MID(I302,1,1)&amp;MID(I302,2,3)+1),CELL("address",AA302))</f>
        <v>G304</v>
      </c>
      <c r="K302" s="135" t="str">
        <f ca="1">IF(J301&gt;=5,(MID(J302,1,1)&amp;MID(J302,2,3)+1),CELL("address",AB302))</f>
        <v>G305</v>
      </c>
      <c r="L302" s="135" t="str">
        <f ca="1">IF(J301&gt;=6,(MID(K302,1,1)&amp;MID(K302,2,3)+1),CELL("address",AC302))</f>
        <v>G306</v>
      </c>
      <c r="M302" s="135" t="str">
        <f ca="1">IF(J301&gt;=7,(MID(L302,1,1)&amp;MID(L302,2,3)+1),CELL("address",AD302))</f>
        <v>G307</v>
      </c>
      <c r="N302" s="135" t="str">
        <f ca="1">IF(J301&gt;=8,(MID(M302,1,1)&amp;MID(M302,2,3)+1),CELL("address",AE302))</f>
        <v>$AE$302</v>
      </c>
      <c r="O302" s="135" t="str">
        <f ca="1">IF(J301&gt;=9,(MID(N302,1,1)&amp;MID(N302,2,3)+1),CELL("address",AF302))</f>
        <v>$AF$302</v>
      </c>
      <c r="P302" s="135" t="str">
        <f ca="1">IF(J301&gt;=10,(MID(O302,1,1)&amp;MID(O302,2,3)+1),CELL("address",AG302))</f>
        <v>$AG$302</v>
      </c>
      <c r="Q302" s="135" t="str">
        <f ca="1">IF(J301&gt;=11,(MID(P302,1,1)&amp;MID(P302,2,3)+1),CELL("address",AH302))</f>
        <v>$AH$302</v>
      </c>
      <c r="R302" s="135" t="str">
        <f ca="1">IF(J301&gt;=12,(MID(Q302,1,1)&amp;MID(Q302,2,3)+1),CELL("address",AI302))</f>
        <v>$AI$302</v>
      </c>
    </row>
    <row r="303" spans="1:8" ht="15" customHeight="1">
      <c r="A303" s="274"/>
      <c r="B303" s="274"/>
      <c r="C303" s="274"/>
      <c r="D303" s="39" t="s">
        <v>92</v>
      </c>
      <c r="E303" s="55">
        <v>0.406</v>
      </c>
      <c r="F303" s="1">
        <v>0.327</v>
      </c>
      <c r="G303" s="126" t="str">
        <f>CONCATENATE(D303," - ",E303,", ")</f>
        <v>4/core PVC Alumn. Cable scrap - 0.406, </v>
      </c>
      <c r="H303" s="139"/>
    </row>
    <row r="304" spans="1:8" ht="15" customHeight="1">
      <c r="A304" s="274"/>
      <c r="B304" s="274"/>
      <c r="C304" s="274"/>
      <c r="D304" s="39" t="s">
        <v>93</v>
      </c>
      <c r="E304" s="55">
        <v>1.425</v>
      </c>
      <c r="F304" s="1">
        <v>1.36</v>
      </c>
      <c r="G304" s="126" t="str">
        <f>CONCATENATE(D304," - ",E304,", ")</f>
        <v>3/ core XLPE Alu cable scrap - 1.425, </v>
      </c>
      <c r="H304" s="139"/>
    </row>
    <row r="305" spans="1:8" ht="15" customHeight="1">
      <c r="A305" s="274"/>
      <c r="B305" s="274"/>
      <c r="C305" s="274"/>
      <c r="D305" s="51" t="s">
        <v>178</v>
      </c>
      <c r="E305" s="53">
        <v>0.017</v>
      </c>
      <c r="G305" s="126" t="str">
        <f>CONCATENATE(D305," - ",E305,", ")</f>
        <v>1/core PVC Alumn. Cable scrap - 0.017, </v>
      </c>
      <c r="H305" s="139"/>
    </row>
    <row r="306" spans="1:8" ht="15" customHeight="1">
      <c r="A306" s="274"/>
      <c r="B306" s="274"/>
      <c r="C306" s="274"/>
      <c r="D306" s="39" t="s">
        <v>448</v>
      </c>
      <c r="E306" s="55">
        <v>0.027</v>
      </c>
      <c r="G306" s="126" t="str">
        <f>CONCATENATE(D306," - ",E306,", ")</f>
        <v>Alu.  seals scrap with lash wire - 0.027, </v>
      </c>
      <c r="H306" s="139"/>
    </row>
    <row r="307" spans="1:8" ht="15" customHeight="1">
      <c r="A307" s="45"/>
      <c r="B307" s="47"/>
      <c r="C307" s="48"/>
      <c r="D307" s="39"/>
      <c r="E307" s="55"/>
      <c r="G307" s="126"/>
      <c r="H307" s="139"/>
    </row>
    <row r="308" spans="1:8" ht="15" customHeight="1">
      <c r="A308" s="45"/>
      <c r="B308" s="54"/>
      <c r="C308" s="263"/>
      <c r="D308" s="257"/>
      <c r="E308" s="103">
        <f>SUM(E310:E312)</f>
        <v>7.0760000000000005</v>
      </c>
      <c r="G308" s="126"/>
      <c r="H308" s="139"/>
    </row>
    <row r="309" spans="1:18" ht="15" customHeight="1">
      <c r="A309" s="46" t="s">
        <v>5</v>
      </c>
      <c r="B309" s="293" t="s">
        <v>17</v>
      </c>
      <c r="C309" s="294"/>
      <c r="D309" s="262" t="s">
        <v>18</v>
      </c>
      <c r="E309" s="46" t="s">
        <v>7</v>
      </c>
      <c r="G309" s="128" t="str">
        <f>CONCATENATE("Cable Scrap, Lying at ",B310,". Quantity in MT - ")</f>
        <v>Cable Scrap, Lying at CS Malout. Quantity in MT - </v>
      </c>
      <c r="H309" s="273" t="str">
        <f ca="1">CONCATENATE(G309,G310,(INDIRECT(I310)),(INDIRECT(J310)),(INDIRECT(K310)),(INDIRECT(L310)),(INDIRECT(M310)),(INDIRECT(N310)),(INDIRECT(O310)),(INDIRECT(P310)),(INDIRECT(Q310)),(INDIRECT(R310)),".")</f>
        <v>Cable Scrap, Lying at CS Malout. Quantity in MT - 2/core PVC Alumn. Cable scrap - 1.19, 4/core PVC Alumn. Cable scrap - 1.351, 3/ core XLPE Alu cable scrap - 4.535, .</v>
      </c>
      <c r="I309" s="135" t="str">
        <f aca="true" ca="1" t="array" ref="I309">CELL("address",INDEX(G309:G331,MATCH(TRUE,ISBLANK(G309:G331),0)))</f>
        <v>$G$313</v>
      </c>
      <c r="J309" s="135">
        <f aca="true" t="array" ref="J309">MATCH(TRUE,ISBLANK(G309:G331),0)</f>
        <v>5</v>
      </c>
      <c r="K309" s="135">
        <f>J309-3</f>
        <v>2</v>
      </c>
      <c r="L309" s="135"/>
      <c r="M309" s="135"/>
      <c r="N309" s="135"/>
      <c r="O309" s="135"/>
      <c r="P309" s="135"/>
      <c r="Q309" s="135"/>
      <c r="R309" s="135"/>
    </row>
    <row r="310" spans="1:18" ht="15" customHeight="1">
      <c r="A310" s="274" t="s">
        <v>177</v>
      </c>
      <c r="B310" s="274" t="s">
        <v>96</v>
      </c>
      <c r="C310" s="274"/>
      <c r="D310" s="39" t="s">
        <v>91</v>
      </c>
      <c r="E310" s="55">
        <v>1.19</v>
      </c>
      <c r="F310" s="1">
        <v>1.034</v>
      </c>
      <c r="G310" s="126" t="str">
        <f>CONCATENATE(D310," - ",E310,", ")</f>
        <v>2/core PVC Alumn. Cable scrap - 1.19, </v>
      </c>
      <c r="H310" s="273"/>
      <c r="I310" s="135" t="str">
        <f ca="1">IF(J309&gt;=3,(MID(I309,2,1)&amp;MID(I309,4,3)-K309),CELL("address",Z310))</f>
        <v>G311</v>
      </c>
      <c r="J310" s="135" t="str">
        <f ca="1">IF(J309&gt;=4,(MID(I310,1,1)&amp;MID(I310,2,3)+1),CELL("address",AA310))</f>
        <v>G312</v>
      </c>
      <c r="K310" s="135" t="str">
        <f ca="1">IF(J309&gt;=5,(MID(J310,1,1)&amp;MID(J310,2,3)+1),CELL("address",AB310))</f>
        <v>G313</v>
      </c>
      <c r="L310" s="135" t="str">
        <f ca="1">IF(J309&gt;=6,(MID(K310,1,1)&amp;MID(K310,2,3)+1),CELL("address",AC310))</f>
        <v>$AC$310</v>
      </c>
      <c r="M310" s="135" t="str">
        <f ca="1">IF(J309&gt;=7,(MID(L310,1,1)&amp;MID(L310,2,3)+1),CELL("address",AD310))</f>
        <v>$AD$310</v>
      </c>
      <c r="N310" s="135" t="str">
        <f ca="1">IF(J309&gt;=8,(MID(M310,1,1)&amp;MID(M310,2,3)+1),CELL("address",AE310))</f>
        <v>$AE$310</v>
      </c>
      <c r="O310" s="135" t="str">
        <f ca="1">IF(J309&gt;=9,(MID(N310,1,1)&amp;MID(N310,2,3)+1),CELL("address",AF310))</f>
        <v>$AF$310</v>
      </c>
      <c r="P310" s="135" t="str">
        <f ca="1">IF(J309&gt;=10,(MID(O310,1,1)&amp;MID(O310,2,3)+1),CELL("address",AG310))</f>
        <v>$AG$310</v>
      </c>
      <c r="Q310" s="135" t="str">
        <f ca="1">IF(J309&gt;=11,(MID(P310,1,1)&amp;MID(P310,2,3)+1),CELL("address",AH310))</f>
        <v>$AH$310</v>
      </c>
      <c r="R310" s="135" t="str">
        <f ca="1">IF(J309&gt;=12,(MID(Q310,1,1)&amp;MID(Q310,2,3)+1),CELL("address",AI310))</f>
        <v>$AI$310</v>
      </c>
    </row>
    <row r="311" spans="1:8" ht="15" customHeight="1">
      <c r="A311" s="274"/>
      <c r="B311" s="274"/>
      <c r="C311" s="274"/>
      <c r="D311" s="39" t="s">
        <v>92</v>
      </c>
      <c r="E311" s="55">
        <v>1.351</v>
      </c>
      <c r="F311" s="1">
        <v>1.096</v>
      </c>
      <c r="G311" s="126" t="str">
        <f>CONCATENATE(D311," - ",E311,", ")</f>
        <v>4/core PVC Alumn. Cable scrap - 1.351, </v>
      </c>
      <c r="H311" s="140"/>
    </row>
    <row r="312" spans="1:8" ht="15" customHeight="1">
      <c r="A312" s="274"/>
      <c r="B312" s="274"/>
      <c r="C312" s="274"/>
      <c r="D312" s="39" t="s">
        <v>93</v>
      </c>
      <c r="E312" s="55">
        <v>4.535</v>
      </c>
      <c r="F312" s="1">
        <v>3.885</v>
      </c>
      <c r="G312" s="126" t="str">
        <f>CONCATENATE(D312," - ",E312,", ")</f>
        <v>3/ core XLPE Alu cable scrap - 4.535, </v>
      </c>
      <c r="H312" s="139"/>
    </row>
    <row r="313" spans="1:8" ht="15" customHeight="1">
      <c r="A313" s="45"/>
      <c r="B313" s="47"/>
      <c r="C313" s="48"/>
      <c r="D313" s="51"/>
      <c r="E313" s="53"/>
      <c r="G313" s="126"/>
      <c r="H313" s="139"/>
    </row>
    <row r="314" spans="1:8" ht="15" customHeight="1">
      <c r="A314" s="45"/>
      <c r="B314" s="54"/>
      <c r="C314" s="263"/>
      <c r="D314" s="257"/>
      <c r="E314" s="103">
        <f>SUM(E316:E319)</f>
        <v>2.9930000000000003</v>
      </c>
      <c r="G314" s="126"/>
      <c r="H314" s="139"/>
    </row>
    <row r="315" spans="1:18" ht="15" customHeight="1">
      <c r="A315" s="46" t="s">
        <v>5</v>
      </c>
      <c r="B315" s="293" t="s">
        <v>17</v>
      </c>
      <c r="C315" s="294"/>
      <c r="D315" s="262" t="s">
        <v>18</v>
      </c>
      <c r="E315" s="46" t="s">
        <v>7</v>
      </c>
      <c r="G315" s="128" t="str">
        <f>CONCATENATE("Cable Scrap, Lying at ",B316,". Quantity in MT - ")</f>
        <v>Cable Scrap, Lying at OL Nabha. Quantity in MT - </v>
      </c>
      <c r="H315" s="273" t="str">
        <f ca="1">CONCATENATE(G315,G316,(INDIRECT(I316)),(INDIRECT(J316)),(INDIRECT(K316)),(INDIRECT(L316)),(INDIRECT(M316)),(INDIRECT(N316)),(INDIRECT(O316)),(INDIRECT(P316)),(INDIRECT(Q316)),(INDIRECT(R316)),".")</f>
        <v>Cable Scrap, Lying at OL Nabha. Quantity in MT - 2/core PVC Alumn. Cable scrap - 1.07, 4/core PVC Alumn. Cable scrap - 0.736, 3/ core XLPE Alu cable scrap - 1.147, ABC cable scrap (70/95 mm) - 0.04, .</v>
      </c>
      <c r="I315" s="135" t="str">
        <f aca="true" ca="1" t="array" ref="I315">CELL("address",INDEX(G315:G337,MATCH(TRUE,ISBLANK(G315:G337),0)))</f>
        <v>$G$320</v>
      </c>
      <c r="J315" s="135">
        <f aca="true" t="array" ref="J315">MATCH(TRUE,ISBLANK(G315:G337),0)</f>
        <v>6</v>
      </c>
      <c r="K315" s="135">
        <f>J315-3</f>
        <v>3</v>
      </c>
      <c r="L315" s="135"/>
      <c r="M315" s="135"/>
      <c r="N315" s="135"/>
      <c r="O315" s="135"/>
      <c r="P315" s="135"/>
      <c r="Q315" s="135"/>
      <c r="R315" s="135"/>
    </row>
    <row r="316" spans="1:18" ht="15" customHeight="1">
      <c r="A316" s="274" t="s">
        <v>179</v>
      </c>
      <c r="B316" s="274" t="s">
        <v>106</v>
      </c>
      <c r="C316" s="274"/>
      <c r="D316" s="39" t="s">
        <v>91</v>
      </c>
      <c r="E316" s="55">
        <v>1.07</v>
      </c>
      <c r="F316" s="1">
        <v>0.355</v>
      </c>
      <c r="G316" s="126" t="str">
        <f>CONCATENATE(D316," - ",E316,", ")</f>
        <v>2/core PVC Alumn. Cable scrap - 1.07, </v>
      </c>
      <c r="H316" s="273"/>
      <c r="I316" s="135" t="str">
        <f ca="1">IF(J315&gt;=3,(MID(I315,2,1)&amp;MID(I315,4,3)-K315),CELL("address",Z316))</f>
        <v>G317</v>
      </c>
      <c r="J316" s="135" t="str">
        <f ca="1">IF(J315&gt;=4,(MID(I316,1,1)&amp;MID(I316,2,3)+1),CELL("address",AA316))</f>
        <v>G318</v>
      </c>
      <c r="K316" s="135" t="str">
        <f ca="1">IF(J315&gt;=5,(MID(J316,1,1)&amp;MID(J316,2,3)+1),CELL("address",AB316))</f>
        <v>G319</v>
      </c>
      <c r="L316" s="135" t="str">
        <f ca="1">IF(J315&gt;=6,(MID(K316,1,1)&amp;MID(K316,2,3)+1),CELL("address",AC316))</f>
        <v>G320</v>
      </c>
      <c r="M316" s="135" t="str">
        <f ca="1">IF(J315&gt;=7,(MID(L316,1,1)&amp;MID(L316,2,3)+1),CELL("address",AD316))</f>
        <v>$AD$316</v>
      </c>
      <c r="N316" s="135" t="str">
        <f ca="1">IF(J315&gt;=8,(MID(M316,1,1)&amp;MID(M316,2,3)+1),CELL("address",AE316))</f>
        <v>$AE$316</v>
      </c>
      <c r="O316" s="135" t="str">
        <f ca="1">IF(J315&gt;=9,(MID(N316,1,1)&amp;MID(N316,2,3)+1),CELL("address",AF316))</f>
        <v>$AF$316</v>
      </c>
      <c r="P316" s="135" t="str">
        <f ca="1">IF(J315&gt;=10,(MID(O316,1,1)&amp;MID(O316,2,3)+1),CELL("address",AG316))</f>
        <v>$AG$316</v>
      </c>
      <c r="Q316" s="135" t="str">
        <f ca="1">IF(J315&gt;=11,(MID(P316,1,1)&amp;MID(P316,2,3)+1),CELL("address",AH316))</f>
        <v>$AH$316</v>
      </c>
      <c r="R316" s="135" t="str">
        <f ca="1">IF(J315&gt;=12,(MID(Q316,1,1)&amp;MID(Q316,2,3)+1),CELL("address",AI316))</f>
        <v>$AI$316</v>
      </c>
    </row>
    <row r="317" spans="1:8" ht="15" customHeight="1">
      <c r="A317" s="274"/>
      <c r="B317" s="274"/>
      <c r="C317" s="274"/>
      <c r="D317" s="39" t="s">
        <v>92</v>
      </c>
      <c r="E317" s="55">
        <v>0.736</v>
      </c>
      <c r="F317" s="1">
        <v>0.661</v>
      </c>
      <c r="G317" s="126" t="str">
        <f>CONCATENATE(D317," - ",E317,", ")</f>
        <v>4/core PVC Alumn. Cable scrap - 0.736, </v>
      </c>
      <c r="H317" s="139"/>
    </row>
    <row r="318" spans="1:8" ht="15" customHeight="1">
      <c r="A318" s="274"/>
      <c r="B318" s="274"/>
      <c r="C318" s="274"/>
      <c r="D318" s="39" t="s">
        <v>93</v>
      </c>
      <c r="E318" s="55">
        <v>1.147</v>
      </c>
      <c r="F318" s="1">
        <v>0.862</v>
      </c>
      <c r="G318" s="126" t="str">
        <f>CONCATENATE(D318," - ",E318,", ")</f>
        <v>3/ core XLPE Alu cable scrap - 1.147, </v>
      </c>
      <c r="H318" s="139"/>
    </row>
    <row r="319" spans="1:8" ht="15" customHeight="1">
      <c r="A319" s="274"/>
      <c r="B319" s="274"/>
      <c r="C319" s="274"/>
      <c r="D319" s="51" t="s">
        <v>175</v>
      </c>
      <c r="E319" s="53">
        <v>0.04</v>
      </c>
      <c r="G319" s="126" t="str">
        <f>CONCATENATE(D319," - ",E319,", ")</f>
        <v>ABC cable scrap (70/95 mm) - 0.04, </v>
      </c>
      <c r="H319" s="139"/>
    </row>
    <row r="320" spans="1:8" ht="15" customHeight="1">
      <c r="A320" s="45"/>
      <c r="B320" s="47"/>
      <c r="C320" s="48"/>
      <c r="D320" s="39"/>
      <c r="E320" s="55"/>
      <c r="G320" s="126"/>
      <c r="H320" s="139"/>
    </row>
    <row r="321" spans="1:8" ht="15" customHeight="1">
      <c r="A321" s="45"/>
      <c r="B321" s="266"/>
      <c r="C321" s="267"/>
      <c r="D321" s="258"/>
      <c r="E321" s="50">
        <f>SUM(E323:E326)</f>
        <v>6.2010000000000005</v>
      </c>
      <c r="G321" s="126"/>
      <c r="H321" s="139"/>
    </row>
    <row r="322" spans="1:18" ht="15" customHeight="1">
      <c r="A322" s="46" t="s">
        <v>5</v>
      </c>
      <c r="B322" s="293" t="s">
        <v>17</v>
      </c>
      <c r="C322" s="294"/>
      <c r="D322" s="262" t="s">
        <v>18</v>
      </c>
      <c r="E322" s="46" t="s">
        <v>7</v>
      </c>
      <c r="G322" s="128" t="str">
        <f>CONCATENATE("Cable Scrap, Lying at ",B323,". Quantity in MT - ")</f>
        <v>Cable Scrap, Lying at CS Patiala. Quantity in MT - </v>
      </c>
      <c r="H322" s="273" t="str">
        <f ca="1">CONCATENATE(G322,G323,(INDIRECT(I323)),(INDIRECT(J323)),(INDIRECT(K323)),(INDIRECT(L323)),(INDIRECT(M323)),(INDIRECT(N323)),(INDIRECT(O323)),(INDIRECT(P323)),(INDIRECT(Q323)),(INDIRECT(R323)),".")</f>
        <v>Cable Scrap, Lying at CS Patiala. Quantity in MT - 1/core PVC Alumn. Cable scrap - 0.301, 2/core PVC Alumn. Cable scrap - 1.07, 4/core PVC Alumn. Cable scrap - 2.823, 3/ core XLPE Alu cable scrap - 2.007, .</v>
      </c>
      <c r="I322" s="135" t="str">
        <f aca="true" ca="1" t="array" ref="I322">CELL("address",INDEX(G322:G345,MATCH(TRUE,ISBLANK(G322:G345),0)))</f>
        <v>$G$327</v>
      </c>
      <c r="J322" s="135">
        <f aca="true" t="array" ref="J322">MATCH(TRUE,ISBLANK(G322:G345),0)</f>
        <v>6</v>
      </c>
      <c r="K322" s="135">
        <f>J322-3</f>
        <v>3</v>
      </c>
      <c r="L322" s="135"/>
      <c r="M322" s="135"/>
      <c r="N322" s="135"/>
      <c r="O322" s="135"/>
      <c r="P322" s="135"/>
      <c r="Q322" s="135"/>
      <c r="R322" s="135"/>
    </row>
    <row r="323" spans="1:18" ht="15" customHeight="1">
      <c r="A323" s="274" t="s">
        <v>180</v>
      </c>
      <c r="B323" s="274" t="s">
        <v>53</v>
      </c>
      <c r="C323" s="274"/>
      <c r="D323" s="51" t="s">
        <v>178</v>
      </c>
      <c r="E323" s="46">
        <v>0.301</v>
      </c>
      <c r="G323" s="126" t="str">
        <f>CONCATENATE(D323," - ",E323,", ")</f>
        <v>1/core PVC Alumn. Cable scrap - 0.301, </v>
      </c>
      <c r="H323" s="273"/>
      <c r="I323" s="135" t="str">
        <f ca="1">IF(J322&gt;=3,(MID(I322,2,1)&amp;MID(I322,4,3)-K322),CELL("address",Z323))</f>
        <v>G324</v>
      </c>
      <c r="J323" s="135" t="str">
        <f ca="1">IF(J322&gt;=4,(MID(I323,1,1)&amp;MID(I323,2,3)+1),CELL("address",AA323))</f>
        <v>G325</v>
      </c>
      <c r="K323" s="135" t="str">
        <f ca="1">IF(J322&gt;=5,(MID(J323,1,1)&amp;MID(J323,2,3)+1),CELL("address",AB323))</f>
        <v>G326</v>
      </c>
      <c r="L323" s="135" t="str">
        <f ca="1">IF(J322&gt;=6,(MID(K323,1,1)&amp;MID(K323,2,3)+1),CELL("address",AC323))</f>
        <v>G327</v>
      </c>
      <c r="M323" s="135" t="str">
        <f ca="1">IF(J322&gt;=7,(MID(L323,1,1)&amp;MID(L323,2,3)+1),CELL("address",AD323))</f>
        <v>$AD$323</v>
      </c>
      <c r="N323" s="135" t="str">
        <f ca="1">IF(J322&gt;=8,(MID(M323,1,1)&amp;MID(M323,2,3)+1),CELL("address",AE323))</f>
        <v>$AE$323</v>
      </c>
      <c r="O323" s="135" t="str">
        <f ca="1">IF(J322&gt;=9,(MID(N323,1,1)&amp;MID(N323,2,3)+1),CELL("address",AF323))</f>
        <v>$AF$323</v>
      </c>
      <c r="P323" s="135" t="str">
        <f ca="1">IF(J322&gt;=10,(MID(O323,1,1)&amp;MID(O323,2,3)+1),CELL("address",AG323))</f>
        <v>$AG$323</v>
      </c>
      <c r="Q323" s="135" t="str">
        <f ca="1">IF(J322&gt;=11,(MID(P323,1,1)&amp;MID(P323,2,3)+1),CELL("address",AH323))</f>
        <v>$AH$323</v>
      </c>
      <c r="R323" s="135" t="str">
        <f ca="1">IF(J322&gt;=12,(MID(Q323,1,1)&amp;MID(Q323,2,3)+1),CELL("address",AI323))</f>
        <v>$AI$323</v>
      </c>
    </row>
    <row r="324" spans="1:8" ht="15" customHeight="1">
      <c r="A324" s="274"/>
      <c r="B324" s="274"/>
      <c r="C324" s="274"/>
      <c r="D324" s="39" t="s">
        <v>91</v>
      </c>
      <c r="E324" s="261">
        <v>1.07</v>
      </c>
      <c r="F324" s="1">
        <v>1.016</v>
      </c>
      <c r="G324" s="126" t="str">
        <f>CONCATENATE(D324," - ",E324,", ")</f>
        <v>2/core PVC Alumn. Cable scrap - 1.07, </v>
      </c>
      <c r="H324" s="139"/>
    </row>
    <row r="325" spans="1:8" ht="15" customHeight="1">
      <c r="A325" s="274"/>
      <c r="B325" s="274"/>
      <c r="C325" s="274"/>
      <c r="D325" s="39" t="s">
        <v>92</v>
      </c>
      <c r="E325" s="261">
        <v>2.823</v>
      </c>
      <c r="F325" s="1">
        <v>2.38</v>
      </c>
      <c r="G325" s="126" t="str">
        <f>CONCATENATE(D325," - ",E325,", ")</f>
        <v>4/core PVC Alumn. Cable scrap - 2.823, </v>
      </c>
      <c r="H325" s="139"/>
    </row>
    <row r="326" spans="1:8" ht="15" customHeight="1">
      <c r="A326" s="274"/>
      <c r="B326" s="274"/>
      <c r="C326" s="274"/>
      <c r="D326" s="51" t="s">
        <v>93</v>
      </c>
      <c r="E326" s="51">
        <v>2.007</v>
      </c>
      <c r="G326" s="126" t="str">
        <f>CONCATENATE(D326," - ",E326,", ")</f>
        <v>3/ core XLPE Alu cable scrap - 2.007, </v>
      </c>
      <c r="H326" s="139"/>
    </row>
    <row r="327" spans="1:8" ht="15" customHeight="1">
      <c r="A327" s="45"/>
      <c r="B327" s="47"/>
      <c r="C327" s="48"/>
      <c r="D327" s="39"/>
      <c r="E327" s="55"/>
      <c r="G327" s="126"/>
      <c r="H327" s="139"/>
    </row>
    <row r="328" spans="1:8" ht="15" customHeight="1">
      <c r="A328" s="41"/>
      <c r="E328" s="272">
        <f>SUM(E330:E333)</f>
        <v>1.25</v>
      </c>
      <c r="G328" s="126"/>
      <c r="H328" s="243"/>
    </row>
    <row r="329" spans="1:18" ht="15" customHeight="1">
      <c r="A329" s="46" t="s">
        <v>5</v>
      </c>
      <c r="B329" s="293" t="s">
        <v>17</v>
      </c>
      <c r="C329" s="294"/>
      <c r="D329" s="262" t="s">
        <v>18</v>
      </c>
      <c r="E329" s="46" t="s">
        <v>7</v>
      </c>
      <c r="G329" s="128" t="str">
        <f>CONCATENATE("Cable Scrap, Lying at ",B330,". Quantity in MT - ")</f>
        <v>Cable Scrap, Lying at OL Rajpura. Quantity in MT - </v>
      </c>
      <c r="H329" s="273" t="str">
        <f ca="1">CONCATENATE(G329,G330,(INDIRECT(I330)),(INDIRECT(J330)),(INDIRECT(K330)),(INDIRECT(L330)),(INDIRECT(M330)),(INDIRECT(N330)),(INDIRECT(O330)),(INDIRECT(P330)),(INDIRECT(Q330)),(INDIRECT(R330)),".")</f>
        <v>Cable Scrap, Lying at OL Rajpura. Quantity in MT - 2/core PVC Alumn. Cable scrap - 0.176, 4/core PVC Alumn. Cable scrap - 0.376, 3/ core XLPE Alu cable scrap - 0.139, ABC cable scrap (70/95 mm) - 0.559, .</v>
      </c>
      <c r="I329" s="135" t="str">
        <f aca="true" ca="1" t="array" ref="I329">CELL("address",INDEX(G329:G381,MATCH(TRUE,ISBLANK(G329:G381),0)))</f>
        <v>$G$334</v>
      </c>
      <c r="J329" s="135">
        <f aca="true" t="array" ref="J329">MATCH(TRUE,ISBLANK(G329:G381),0)</f>
        <v>6</v>
      </c>
      <c r="K329" s="135">
        <f>J329-3</f>
        <v>3</v>
      </c>
      <c r="L329" s="135"/>
      <c r="M329" s="135"/>
      <c r="N329" s="135"/>
      <c r="O329" s="135"/>
      <c r="P329" s="135"/>
      <c r="Q329" s="135"/>
      <c r="R329" s="135"/>
    </row>
    <row r="330" spans="1:18" ht="15" customHeight="1">
      <c r="A330" s="274" t="s">
        <v>181</v>
      </c>
      <c r="B330" s="274" t="s">
        <v>105</v>
      </c>
      <c r="C330" s="274"/>
      <c r="D330" s="39" t="s">
        <v>91</v>
      </c>
      <c r="E330" s="257">
        <v>0.176</v>
      </c>
      <c r="F330" s="1">
        <v>0.06</v>
      </c>
      <c r="G330" s="126" t="str">
        <f>CONCATENATE(D330," - ",E330,", ")</f>
        <v>2/core PVC Alumn. Cable scrap - 0.176, </v>
      </c>
      <c r="H330" s="273"/>
      <c r="I330" s="135" t="str">
        <f ca="1">IF(J329&gt;=3,(MID(I329,2,1)&amp;MID(I329,4,3)-K329),CELL("address",Z330))</f>
        <v>G331</v>
      </c>
      <c r="J330" s="135" t="str">
        <f ca="1">IF(J329&gt;=4,(MID(I330,1,1)&amp;MID(I330,2,3)+1),CELL("address",AA330))</f>
        <v>G332</v>
      </c>
      <c r="K330" s="135" t="str">
        <f ca="1">IF(J329&gt;=5,(MID(J330,1,1)&amp;MID(J330,2,3)+1),CELL("address",AB330))</f>
        <v>G333</v>
      </c>
      <c r="L330" s="135" t="str">
        <f ca="1">IF(J329&gt;=6,(MID(K330,1,1)&amp;MID(K330,2,3)+1),CELL("address",AC330))</f>
        <v>G334</v>
      </c>
      <c r="M330" s="135" t="str">
        <f ca="1">IF(J329&gt;=7,(MID(L330,1,1)&amp;MID(L330,2,3)+1),CELL("address",AD330))</f>
        <v>$AD$330</v>
      </c>
      <c r="N330" s="135" t="str">
        <f ca="1">IF(J329&gt;=8,(MID(M330,1,1)&amp;MID(M330,2,3)+1),CELL("address",AE330))</f>
        <v>$AE$330</v>
      </c>
      <c r="O330" s="135" t="str">
        <f ca="1">IF(J329&gt;=9,(MID(N330,1,1)&amp;MID(N330,2,3)+1),CELL("address",AF330))</f>
        <v>$AF$330</v>
      </c>
      <c r="P330" s="135" t="str">
        <f ca="1">IF(J329&gt;=10,(MID(O330,1,1)&amp;MID(O330,2,3)+1),CELL("address",AG330))</f>
        <v>$AG$330</v>
      </c>
      <c r="Q330" s="135" t="str">
        <f ca="1">IF(J329&gt;=11,(MID(P330,1,1)&amp;MID(P330,2,3)+1),CELL("address",AH330))</f>
        <v>$AH$330</v>
      </c>
      <c r="R330" s="135" t="str">
        <f ca="1">IF(J329&gt;=12,(MID(Q330,1,1)&amp;MID(Q330,2,3)+1),CELL("address",AI330))</f>
        <v>$AI$330</v>
      </c>
    </row>
    <row r="331" spans="1:8" ht="15" customHeight="1">
      <c r="A331" s="274"/>
      <c r="B331" s="274"/>
      <c r="C331" s="274"/>
      <c r="D331" s="39" t="s">
        <v>92</v>
      </c>
      <c r="E331" s="261">
        <v>0.376</v>
      </c>
      <c r="F331" s="1">
        <v>0.267</v>
      </c>
      <c r="G331" s="126" t="str">
        <f>CONCATENATE(D331," - ",E331,", ")</f>
        <v>4/core PVC Alumn. Cable scrap - 0.376, </v>
      </c>
      <c r="H331" s="139"/>
    </row>
    <row r="332" spans="1:8" ht="15" customHeight="1">
      <c r="A332" s="274"/>
      <c r="B332" s="274"/>
      <c r="C332" s="274"/>
      <c r="D332" s="39" t="s">
        <v>93</v>
      </c>
      <c r="E332" s="261">
        <v>0.139</v>
      </c>
      <c r="F332" s="1">
        <v>0.115</v>
      </c>
      <c r="G332" s="126" t="str">
        <f>CONCATENATE(D332," - ",E332,", ")</f>
        <v>3/ core XLPE Alu cable scrap - 0.139, </v>
      </c>
      <c r="H332" s="139"/>
    </row>
    <row r="333" spans="1:8" ht="15" customHeight="1">
      <c r="A333" s="274"/>
      <c r="B333" s="274"/>
      <c r="C333" s="274"/>
      <c r="D333" s="51" t="s">
        <v>175</v>
      </c>
      <c r="E333" s="53">
        <v>0.559</v>
      </c>
      <c r="G333" s="126" t="str">
        <f>CONCATENATE(D333," - ",E333,", ")</f>
        <v>ABC cable scrap (70/95 mm) - 0.559, </v>
      </c>
      <c r="H333" s="139"/>
    </row>
    <row r="334" spans="1:8" ht="15" customHeight="1">
      <c r="A334" s="45"/>
      <c r="B334" s="47"/>
      <c r="C334" s="48"/>
      <c r="D334" s="51"/>
      <c r="E334" s="53"/>
      <c r="G334" s="126"/>
      <c r="H334" s="139"/>
    </row>
    <row r="335" spans="1:8" ht="15" customHeight="1">
      <c r="A335" s="45"/>
      <c r="B335" s="266"/>
      <c r="C335" s="267"/>
      <c r="D335" s="258"/>
      <c r="E335" s="50">
        <f>SUM(E337:E340)</f>
        <v>4.255999999999999</v>
      </c>
      <c r="G335" s="126"/>
      <c r="H335" s="139"/>
    </row>
    <row r="336" spans="1:18" ht="15" customHeight="1">
      <c r="A336" s="46" t="s">
        <v>5</v>
      </c>
      <c r="B336" s="293" t="s">
        <v>17</v>
      </c>
      <c r="C336" s="294"/>
      <c r="D336" s="262" t="s">
        <v>18</v>
      </c>
      <c r="E336" s="46" t="s">
        <v>7</v>
      </c>
      <c r="G336" s="128" t="str">
        <f>CONCATENATE("Cable Scrap, Lying at ",B337,". Quantity in MT - ")</f>
        <v>Cable Scrap, Lying at OL Barnala. Quantity in MT - </v>
      </c>
      <c r="H336" s="273" t="str">
        <f ca="1">CONCATENATE(G336,G337,(INDIRECT(I337)),(INDIRECT(J337)),(INDIRECT(K337)),(INDIRECT(L337)),(INDIRECT(M337)),(INDIRECT(N337)),(INDIRECT(O337)),(INDIRECT(P337)),(INDIRECT(Q337)),(INDIRECT(R337)),".")</f>
        <v>Cable Scrap, Lying at OL Barnala. Quantity in MT - 2/core PVC Alumn. Cable scrap - 0.488, 4/core PVC Alumn. Cable scrap - 0.928, 3/ core XLPE Alu cable scrap - 2.822, 1/ core XLPE Alu cable scrap - 0.018, .</v>
      </c>
      <c r="I336" s="135" t="str">
        <f aca="true" ca="1" t="array" ref="I336">CELL("address",INDEX(G336:G388,MATCH(TRUE,ISBLANK(G336:G388),0)))</f>
        <v>$G$341</v>
      </c>
      <c r="J336" s="135">
        <f aca="true" t="array" ref="J336">MATCH(TRUE,ISBLANK(G336:G388),0)</f>
        <v>6</v>
      </c>
      <c r="K336" s="135">
        <f>J336-3</f>
        <v>3</v>
      </c>
      <c r="L336" s="135"/>
      <c r="M336" s="135"/>
      <c r="N336" s="135"/>
      <c r="O336" s="135"/>
      <c r="P336" s="135"/>
      <c r="Q336" s="135"/>
      <c r="R336" s="135"/>
    </row>
    <row r="337" spans="1:18" ht="15" customHeight="1">
      <c r="A337" s="274" t="s">
        <v>257</v>
      </c>
      <c r="B337" s="274" t="s">
        <v>198</v>
      </c>
      <c r="C337" s="274"/>
      <c r="D337" s="39" t="s">
        <v>91</v>
      </c>
      <c r="E337" s="261">
        <v>0.488</v>
      </c>
      <c r="F337" s="1">
        <v>0.343</v>
      </c>
      <c r="G337" s="126" t="str">
        <f>CONCATENATE(D337," - ",E337,", ")</f>
        <v>2/core PVC Alumn. Cable scrap - 0.488, </v>
      </c>
      <c r="H337" s="273"/>
      <c r="I337" s="135" t="str">
        <f ca="1">IF(J336&gt;=3,(MID(I336,2,1)&amp;MID(I336,4,3)-K336),CELL("address",Z337))</f>
        <v>G338</v>
      </c>
      <c r="J337" s="135" t="str">
        <f ca="1">IF(J336&gt;=4,(MID(I337,1,1)&amp;MID(I337,2,3)+1),CELL("address",AA337))</f>
        <v>G339</v>
      </c>
      <c r="K337" s="135" t="str">
        <f ca="1">IF(J336&gt;=5,(MID(J337,1,1)&amp;MID(J337,2,3)+1),CELL("address",AB337))</f>
        <v>G340</v>
      </c>
      <c r="L337" s="135" t="str">
        <f ca="1">IF(J336&gt;=6,(MID(K337,1,1)&amp;MID(K337,2,3)+1),CELL("address",AC337))</f>
        <v>G341</v>
      </c>
      <c r="M337" s="135" t="str">
        <f ca="1">IF(J336&gt;=7,(MID(L337,1,1)&amp;MID(L337,2,3)+1),CELL("address",AD337))</f>
        <v>$AD$337</v>
      </c>
      <c r="N337" s="135" t="str">
        <f ca="1">IF(J336&gt;=8,(MID(M337,1,1)&amp;MID(M337,2,3)+1),CELL("address",AE337))</f>
        <v>$AE$337</v>
      </c>
      <c r="O337" s="135" t="str">
        <f ca="1">IF(J336&gt;=9,(MID(N337,1,1)&amp;MID(N337,2,3)+1),CELL("address",AF337))</f>
        <v>$AF$337</v>
      </c>
      <c r="P337" s="135" t="str">
        <f ca="1">IF(J336&gt;=10,(MID(O337,1,1)&amp;MID(O337,2,3)+1),CELL("address",AG337))</f>
        <v>$AG$337</v>
      </c>
      <c r="Q337" s="135" t="str">
        <f ca="1">IF(J336&gt;=11,(MID(P337,1,1)&amp;MID(P337,2,3)+1),CELL("address",AH337))</f>
        <v>$AH$337</v>
      </c>
      <c r="R337" s="135" t="str">
        <f ca="1">IF(J336&gt;=12,(MID(Q337,1,1)&amp;MID(Q337,2,3)+1),CELL("address",AI337))</f>
        <v>$AI$337</v>
      </c>
    </row>
    <row r="338" spans="1:8" ht="15" customHeight="1">
      <c r="A338" s="274"/>
      <c r="B338" s="274"/>
      <c r="C338" s="274"/>
      <c r="D338" s="39" t="s">
        <v>92</v>
      </c>
      <c r="E338" s="261">
        <v>0.928</v>
      </c>
      <c r="F338" s="1">
        <v>0.571</v>
      </c>
      <c r="G338" s="126" t="str">
        <f>CONCATENATE(D338," - ",E338,", ")</f>
        <v>4/core PVC Alumn. Cable scrap - 0.928, </v>
      </c>
      <c r="H338" s="139"/>
    </row>
    <row r="339" spans="1:8" ht="15" customHeight="1">
      <c r="A339" s="274"/>
      <c r="B339" s="274"/>
      <c r="C339" s="274"/>
      <c r="D339" s="39" t="s">
        <v>93</v>
      </c>
      <c r="E339" s="55">
        <v>2.822</v>
      </c>
      <c r="F339" s="1">
        <v>2.556</v>
      </c>
      <c r="G339" s="126" t="str">
        <f>CONCATENATE(D339," - ",E339,", ")</f>
        <v>3/ core XLPE Alu cable scrap - 2.822, </v>
      </c>
      <c r="H339" s="139"/>
    </row>
    <row r="340" spans="1:8" ht="15" customHeight="1">
      <c r="A340" s="274"/>
      <c r="B340" s="274"/>
      <c r="C340" s="274"/>
      <c r="D340" s="51" t="s">
        <v>98</v>
      </c>
      <c r="E340" s="53">
        <v>0.018</v>
      </c>
      <c r="G340" s="126" t="str">
        <f>CONCATENATE(D340," - ",E340,", ")</f>
        <v>1/ core XLPE Alu cable scrap - 0.018, </v>
      </c>
      <c r="H340" s="139"/>
    </row>
    <row r="341" spans="1:8" ht="15" customHeight="1">
      <c r="A341" s="45"/>
      <c r="B341" s="164"/>
      <c r="C341" s="72"/>
      <c r="D341" s="165"/>
      <c r="E341" s="166"/>
      <c r="G341" s="126"/>
      <c r="H341" s="139"/>
    </row>
    <row r="342" spans="1:8" ht="15" customHeight="1">
      <c r="A342" s="45"/>
      <c r="B342" s="266"/>
      <c r="C342" s="267"/>
      <c r="D342" s="258"/>
      <c r="E342" s="50">
        <f>SUM(E344:E350)</f>
        <v>3.5669999999999997</v>
      </c>
      <c r="G342" s="126"/>
      <c r="H342" s="139"/>
    </row>
    <row r="343" spans="1:18" ht="15" customHeight="1">
      <c r="A343" s="87" t="s">
        <v>5</v>
      </c>
      <c r="B343" s="281" t="s">
        <v>17</v>
      </c>
      <c r="C343" s="282"/>
      <c r="D343" s="262" t="s">
        <v>18</v>
      </c>
      <c r="E343" s="46" t="s">
        <v>7</v>
      </c>
      <c r="G343" s="128" t="str">
        <f>CONCATENATE("Cable Scrap, Lying at ",B344,". Quantity in MT - ")</f>
        <v>Cable Scrap, Lying at CS Sangrur. Quantity in MT - </v>
      </c>
      <c r="H343" s="273" t="str">
        <f ca="1">CONCATENATE(G343,G344,(INDIRECT(I344)),(INDIRECT(J344)),(INDIRECT(K344)),(INDIRECT(L344)),(INDIRECT(M344)),(INDIRECT(N344)),(INDIRECT(O344)),(INDIRECT(P344)),(INDIRECT(Q344)),(INDIRECT(R344)),".")</f>
        <v>Cable Scrap, Lying at CS Sangrur. Quantity in MT - 2/core PVC Alumn. Cable scrap - 0.238, 4/core PVC Alumn. Cable scrap - 0.401, 3/ core XLPE Alu cable scrap - 2.212, Lead seal scrap with lash wire - 0.021, ABC cable scrap (70/95 mm) - 0.565, 1/core PVC Alumn. Cable scrap - 0.065, 1/ core XLPE Alu cable scrap - 0.065, .</v>
      </c>
      <c r="I343" s="135" t="str">
        <f aca="true" ca="1" t="array" ref="I343">CELL("address",INDEX(G343:G394,MATCH(TRUE,ISBLANK(G343:G394),0)))</f>
        <v>$G$351</v>
      </c>
      <c r="J343" s="135">
        <f aca="true" t="array" ref="J343">MATCH(TRUE,ISBLANK(G343:G394),0)</f>
        <v>9</v>
      </c>
      <c r="K343" s="135">
        <f>J343-3</f>
        <v>6</v>
      </c>
      <c r="L343" s="135"/>
      <c r="M343" s="135"/>
      <c r="N343" s="135"/>
      <c r="O343" s="135"/>
      <c r="P343" s="135"/>
      <c r="Q343" s="135"/>
      <c r="R343" s="135"/>
    </row>
    <row r="344" spans="1:18" ht="15" customHeight="1">
      <c r="A344" s="274" t="s">
        <v>219</v>
      </c>
      <c r="B344" s="274" t="s">
        <v>80</v>
      </c>
      <c r="C344" s="274"/>
      <c r="D344" s="231" t="s">
        <v>91</v>
      </c>
      <c r="E344" s="261">
        <v>0.238</v>
      </c>
      <c r="F344" s="1">
        <v>0.172</v>
      </c>
      <c r="G344" s="126" t="str">
        <f aca="true" t="shared" si="2" ref="G344:G350">CONCATENATE(D344," - ",E344,", ")</f>
        <v>2/core PVC Alumn. Cable scrap - 0.238, </v>
      </c>
      <c r="H344" s="273"/>
      <c r="I344" s="135" t="str">
        <f ca="1">IF(J343&gt;=3,(MID(I343,2,1)&amp;MID(I343,4,3)-K343),CELL("address",Z344))</f>
        <v>G345</v>
      </c>
      <c r="J344" s="135" t="str">
        <f ca="1">IF(J343&gt;=4,(MID(I344,1,1)&amp;MID(I344,2,3)+1),CELL("address",AA344))</f>
        <v>G346</v>
      </c>
      <c r="K344" s="135" t="str">
        <f ca="1">IF(J343&gt;=5,(MID(J344,1,1)&amp;MID(J344,2,3)+1),CELL("address",AB344))</f>
        <v>G347</v>
      </c>
      <c r="L344" s="135" t="str">
        <f ca="1">IF(J343&gt;=6,(MID(K344,1,1)&amp;MID(K344,2,3)+1),CELL("address",AC344))</f>
        <v>G348</v>
      </c>
      <c r="M344" s="135" t="str">
        <f ca="1">IF(J343&gt;=7,(MID(L344,1,1)&amp;MID(L344,2,3)+1),CELL("address",AD344))</f>
        <v>G349</v>
      </c>
      <c r="N344" s="135" t="str">
        <f ca="1">IF(J343&gt;=8,(MID(M344,1,1)&amp;MID(M344,2,3)+1),CELL("address",AE344))</f>
        <v>G350</v>
      </c>
      <c r="O344" s="135" t="str">
        <f ca="1">IF(J343&gt;=9,(MID(N344,1,1)&amp;MID(N344,2,3)+1),CELL("address",AF344))</f>
        <v>G351</v>
      </c>
      <c r="P344" s="135" t="str">
        <f ca="1">IF(J343&gt;=10,(MID(O344,1,1)&amp;MID(O344,2,3)+1),CELL("address",AG344))</f>
        <v>$AG$344</v>
      </c>
      <c r="Q344" s="135" t="str">
        <f ca="1">IF(J343&gt;=11,(MID(P344,1,1)&amp;MID(P344,2,3)+1),CELL("address",AH344))</f>
        <v>$AH$344</v>
      </c>
      <c r="R344" s="135" t="str">
        <f ca="1">IF(J343&gt;=12,(MID(Q344,1,1)&amp;MID(Q344,2,3)+1),CELL("address",AI344))</f>
        <v>$AI$344</v>
      </c>
    </row>
    <row r="345" spans="1:8" ht="15" customHeight="1">
      <c r="A345" s="274"/>
      <c r="B345" s="274"/>
      <c r="C345" s="274"/>
      <c r="D345" s="231" t="s">
        <v>92</v>
      </c>
      <c r="E345" s="261">
        <v>0.401</v>
      </c>
      <c r="F345" s="1">
        <v>0.36</v>
      </c>
      <c r="G345" s="126" t="str">
        <f t="shared" si="2"/>
        <v>4/core PVC Alumn. Cable scrap - 0.401, </v>
      </c>
      <c r="H345" s="139"/>
    </row>
    <row r="346" spans="1:8" ht="15" customHeight="1">
      <c r="A346" s="274"/>
      <c r="B346" s="274"/>
      <c r="C346" s="274"/>
      <c r="D346" s="231" t="s">
        <v>93</v>
      </c>
      <c r="E346" s="261">
        <v>2.212</v>
      </c>
      <c r="F346" s="1">
        <v>0.355</v>
      </c>
      <c r="G346" s="126" t="str">
        <f t="shared" si="2"/>
        <v>3/ core XLPE Alu cable scrap - 2.212, </v>
      </c>
      <c r="H346" s="139"/>
    </row>
    <row r="347" spans="1:8" ht="15" customHeight="1">
      <c r="A347" s="274"/>
      <c r="B347" s="274"/>
      <c r="C347" s="274"/>
      <c r="D347" s="105" t="s">
        <v>196</v>
      </c>
      <c r="E347" s="51">
        <v>0.021</v>
      </c>
      <c r="G347" s="126" t="str">
        <f t="shared" si="2"/>
        <v>Lead seal scrap with lash wire - 0.021, </v>
      </c>
      <c r="H347" s="139"/>
    </row>
    <row r="348" spans="1:8" ht="15" customHeight="1">
      <c r="A348" s="274"/>
      <c r="B348" s="274"/>
      <c r="C348" s="274"/>
      <c r="D348" s="232" t="s">
        <v>175</v>
      </c>
      <c r="E348" s="55">
        <v>0.565</v>
      </c>
      <c r="F348" s="1">
        <v>0.545</v>
      </c>
      <c r="G348" s="126" t="str">
        <f t="shared" si="2"/>
        <v>ABC cable scrap (70/95 mm) - 0.565, </v>
      </c>
      <c r="H348" s="139"/>
    </row>
    <row r="349" spans="1:8" ht="15" customHeight="1">
      <c r="A349" s="274"/>
      <c r="B349" s="274"/>
      <c r="C349" s="274"/>
      <c r="D349" s="105" t="s">
        <v>178</v>
      </c>
      <c r="E349" s="53">
        <v>0.065</v>
      </c>
      <c r="G349" s="126" t="str">
        <f t="shared" si="2"/>
        <v>1/core PVC Alumn. Cable scrap - 0.065, </v>
      </c>
      <c r="H349" s="139"/>
    </row>
    <row r="350" spans="1:8" ht="15" customHeight="1">
      <c r="A350" s="274"/>
      <c r="B350" s="274"/>
      <c r="C350" s="274"/>
      <c r="D350" s="231" t="s">
        <v>98</v>
      </c>
      <c r="E350" s="55">
        <v>0.065</v>
      </c>
      <c r="F350" s="1" t="s">
        <v>408</v>
      </c>
      <c r="G350" s="126" t="str">
        <f t="shared" si="2"/>
        <v>1/ core XLPE Alu cable scrap - 0.065, </v>
      </c>
      <c r="H350" s="139"/>
    </row>
    <row r="351" spans="1:8" ht="15" customHeight="1">
      <c r="A351" s="56"/>
      <c r="B351" s="164"/>
      <c r="C351" s="72"/>
      <c r="D351" s="88"/>
      <c r="E351" s="53"/>
      <c r="G351" s="126"/>
      <c r="H351" s="139"/>
    </row>
    <row r="352" spans="1:8" ht="15" customHeight="1">
      <c r="A352" s="45"/>
      <c r="B352" s="266"/>
      <c r="C352" s="267"/>
      <c r="D352" s="258" t="s">
        <v>267</v>
      </c>
      <c r="E352" s="50">
        <f>SUM(E354:E357)</f>
        <v>1.0639999999999998</v>
      </c>
      <c r="G352" s="126"/>
      <c r="H352" s="139"/>
    </row>
    <row r="353" spans="1:18" ht="15" customHeight="1">
      <c r="A353" s="46" t="s">
        <v>5</v>
      </c>
      <c r="B353" s="293" t="s">
        <v>17</v>
      </c>
      <c r="C353" s="294"/>
      <c r="D353" s="262" t="s">
        <v>18</v>
      </c>
      <c r="E353" s="46" t="s">
        <v>7</v>
      </c>
      <c r="G353" s="128" t="str">
        <f>CONCATENATE("Cable Scrap, Lying at ",B354,". Quantity in MT - ")</f>
        <v>Cable Scrap, Lying at CS Mohali. Quantity in MT - </v>
      </c>
      <c r="H353" s="273" t="str">
        <f ca="1">CONCATENATE(G353,G354,(INDIRECT(I354)),(INDIRECT(J354)),(INDIRECT(K354)),(INDIRECT(L354)),(INDIRECT(M354)),(INDIRECT(N354)),(INDIRECT(O354)),(INDIRECT(P354)),(INDIRECT(Q354)),(INDIRECT(R354)),".")</f>
        <v>Cable Scrap, Lying at CS Mohali. Quantity in MT - 4/core PVC Alumn. Cable scrap - 0.649, 3/ core XLPE Alu cable scrap - 0.208, 1/core PVC Alumn. Cable scrap - 0.158, 2/core PVC Alumn. Cable scrap - 0.049, .</v>
      </c>
      <c r="I353" s="135" t="str">
        <f aca="true" ca="1" t="array" ref="I353">CELL("address",INDEX(G353:G398,MATCH(TRUE,ISBLANK(G353:G398),0)))</f>
        <v>$G$358</v>
      </c>
      <c r="J353" s="135">
        <f aca="true" t="array" ref="J353">MATCH(TRUE,ISBLANK(G353:G398),0)</f>
        <v>6</v>
      </c>
      <c r="K353" s="135">
        <f>J353-3</f>
        <v>3</v>
      </c>
      <c r="L353" s="135"/>
      <c r="M353" s="135"/>
      <c r="N353" s="135"/>
      <c r="O353" s="135"/>
      <c r="P353" s="135"/>
      <c r="Q353" s="135"/>
      <c r="R353" s="135"/>
    </row>
    <row r="354" spans="1:18" ht="15" customHeight="1">
      <c r="A354" s="274" t="s">
        <v>265</v>
      </c>
      <c r="B354" s="274" t="s">
        <v>63</v>
      </c>
      <c r="C354" s="274"/>
      <c r="D354" s="39" t="s">
        <v>92</v>
      </c>
      <c r="E354" s="257">
        <v>0.649</v>
      </c>
      <c r="F354" s="1">
        <v>0.445</v>
      </c>
      <c r="G354" s="126" t="str">
        <f>CONCATENATE(D354," - ",E354,", ")</f>
        <v>4/core PVC Alumn. Cable scrap - 0.649, </v>
      </c>
      <c r="H354" s="273"/>
      <c r="I354" s="135" t="str">
        <f ca="1">IF(J353&gt;=3,(MID(I353,2,1)&amp;MID(I353,4,3)-K353),CELL("address",Z354))</f>
        <v>G355</v>
      </c>
      <c r="J354" s="135" t="str">
        <f ca="1">IF(J353&gt;=4,(MID(I354,1,1)&amp;MID(I354,2,3)+1),CELL("address",AA354))</f>
        <v>G356</v>
      </c>
      <c r="K354" s="135" t="str">
        <f ca="1">IF(J353&gt;=5,(MID(J354,1,1)&amp;MID(J354,2,3)+1),CELL("address",AB354))</f>
        <v>G357</v>
      </c>
      <c r="L354" s="135" t="str">
        <f ca="1">IF(J353&gt;=6,(MID(K354,1,1)&amp;MID(K354,2,3)+1),CELL("address",AC354))</f>
        <v>G358</v>
      </c>
      <c r="M354" s="135" t="str">
        <f ca="1">IF(J353&gt;=7,(MID(L354,1,1)&amp;MID(L354,2,3)+1),CELL("address",AD354))</f>
        <v>$AD$354</v>
      </c>
      <c r="N354" s="135" t="str">
        <f ca="1">IF(J353&gt;=8,(MID(M354,1,1)&amp;MID(M354,2,3)+1),CELL("address",AE354))</f>
        <v>$AE$354</v>
      </c>
      <c r="O354" s="135" t="str">
        <f ca="1">IF(J353&gt;=9,(MID(N354,1,1)&amp;MID(N354,2,3)+1),CELL("address",AF354))</f>
        <v>$AF$354</v>
      </c>
      <c r="P354" s="135" t="str">
        <f ca="1">IF(J353&gt;=10,(MID(O354,1,1)&amp;MID(O354,2,3)+1),CELL("address",AG354))</f>
        <v>$AG$354</v>
      </c>
      <c r="Q354" s="135" t="str">
        <f ca="1">IF(J353&gt;=11,(MID(P354,1,1)&amp;MID(P354,2,3)+1),CELL("address",AH354))</f>
        <v>$AH$354</v>
      </c>
      <c r="R354" s="135" t="str">
        <f ca="1">IF(J353&gt;=12,(MID(Q354,1,1)&amp;MID(Q354,2,3)+1),CELL("address",AI354))</f>
        <v>$AI$354</v>
      </c>
    </row>
    <row r="355" spans="1:8" ht="15" customHeight="1">
      <c r="A355" s="274"/>
      <c r="B355" s="274"/>
      <c r="C355" s="274"/>
      <c r="D355" s="39" t="s">
        <v>93</v>
      </c>
      <c r="E355" s="261">
        <v>0.208</v>
      </c>
      <c r="F355" s="1">
        <v>0.15</v>
      </c>
      <c r="G355" s="126" t="str">
        <f>CONCATENATE(D355," - ",E355,", ")</f>
        <v>3/ core XLPE Alu cable scrap - 0.208, </v>
      </c>
      <c r="H355" s="139"/>
    </row>
    <row r="356" spans="1:8" ht="15" customHeight="1">
      <c r="A356" s="274"/>
      <c r="B356" s="274"/>
      <c r="C356" s="274"/>
      <c r="D356" s="39" t="s">
        <v>178</v>
      </c>
      <c r="E356" s="261">
        <v>0.158</v>
      </c>
      <c r="F356" s="1">
        <v>0.069</v>
      </c>
      <c r="G356" s="126" t="str">
        <f>CONCATENATE(D356," - ",E356,", ")</f>
        <v>1/core PVC Alumn. Cable scrap - 0.158, </v>
      </c>
      <c r="H356" s="139"/>
    </row>
    <row r="357" spans="1:8" ht="15" customHeight="1">
      <c r="A357" s="274"/>
      <c r="B357" s="274"/>
      <c r="C357" s="274"/>
      <c r="D357" s="39" t="s">
        <v>91</v>
      </c>
      <c r="E357" s="261">
        <v>0.049</v>
      </c>
      <c r="F357" s="1">
        <v>0.013</v>
      </c>
      <c r="G357" s="126" t="str">
        <f>CONCATENATE(D357," - ",E357,", ")</f>
        <v>2/core PVC Alumn. Cable scrap - 0.049, </v>
      </c>
      <c r="H357" s="139"/>
    </row>
    <row r="358" spans="1:8" ht="15" customHeight="1">
      <c r="A358" s="58"/>
      <c r="B358" s="61"/>
      <c r="C358" s="134"/>
      <c r="D358" s="39"/>
      <c r="E358" s="261"/>
      <c r="G358" s="126"/>
      <c r="H358" s="139"/>
    </row>
    <row r="359" spans="1:8" ht="15" customHeight="1">
      <c r="A359" s="46"/>
      <c r="B359" s="302"/>
      <c r="C359" s="303"/>
      <c r="D359" s="257"/>
      <c r="E359" s="59">
        <f>SUM(E361:E363)</f>
        <v>1.393</v>
      </c>
      <c r="G359" s="126"/>
      <c r="H359" s="139"/>
    </row>
    <row r="360" spans="1:18" ht="15" customHeight="1">
      <c r="A360" s="46" t="s">
        <v>5</v>
      </c>
      <c r="B360" s="274" t="s">
        <v>17</v>
      </c>
      <c r="C360" s="274"/>
      <c r="D360" s="256" t="s">
        <v>18</v>
      </c>
      <c r="E360" s="46" t="s">
        <v>7</v>
      </c>
      <c r="G360" s="128" t="str">
        <f>CONCATENATE("Cable Scrap, Lying at ",B361,". Quantity in MT - ")</f>
        <v>Cable Scrap, Lying at OL Fazilka. Quantity in MT - </v>
      </c>
      <c r="H360" s="273" t="str">
        <f ca="1">CONCATENATE(G360,G361,(INDIRECT(I361)),(INDIRECT(J361)),(INDIRECT(K361)),(INDIRECT(L361)),(INDIRECT(M361)),(INDIRECT(N361)),(INDIRECT(O361)),(INDIRECT(P361)),(INDIRECT(Q361)),(INDIRECT(R361)),".")</f>
        <v>Cable Scrap, Lying at OL Fazilka. Quantity in MT - 2/core PVC Alumn. Cable scrap - 0.078, 4/core PVC Alumn. Cable scrap - 0.371, 3/ core XLPE Alu cable scrap - 0.944, .</v>
      </c>
      <c r="I360" s="135" t="str">
        <f aca="true" ca="1" t="array" ref="I360">CELL("address",INDEX(G360:G405,MATCH(TRUE,ISBLANK(G360:G405),0)))</f>
        <v>$G$364</v>
      </c>
      <c r="J360" s="135">
        <f aca="true" t="array" ref="J360">MATCH(TRUE,ISBLANK(G360:G405),0)</f>
        <v>5</v>
      </c>
      <c r="K360" s="135">
        <f>J360-3</f>
        <v>2</v>
      </c>
      <c r="L360" s="135"/>
      <c r="M360" s="135"/>
      <c r="N360" s="135"/>
      <c r="O360" s="135"/>
      <c r="P360" s="135"/>
      <c r="Q360" s="135"/>
      <c r="R360" s="135"/>
    </row>
    <row r="361" spans="1:18" ht="15" customHeight="1">
      <c r="A361" s="274" t="s">
        <v>266</v>
      </c>
      <c r="B361" s="274" t="s">
        <v>114</v>
      </c>
      <c r="C361" s="274"/>
      <c r="D361" s="39" t="s">
        <v>91</v>
      </c>
      <c r="E361" s="261">
        <v>0.078</v>
      </c>
      <c r="F361" s="1">
        <v>0.038</v>
      </c>
      <c r="G361" s="126" t="str">
        <f>CONCATENATE(D361," - ",E361,", ")</f>
        <v>2/core PVC Alumn. Cable scrap - 0.078, </v>
      </c>
      <c r="H361" s="273"/>
      <c r="I361" s="135" t="str">
        <f ca="1">IF(J360&gt;=3,(MID(I360,2,1)&amp;MID(I360,4,3)-K360),CELL("address",Z361))</f>
        <v>G362</v>
      </c>
      <c r="J361" s="135" t="str">
        <f ca="1">IF(J360&gt;=4,(MID(I361,1,1)&amp;MID(I361,2,3)+1),CELL("address",AA361))</f>
        <v>G363</v>
      </c>
      <c r="K361" s="135" t="str">
        <f ca="1">IF(J360&gt;=5,(MID(J361,1,1)&amp;MID(J361,2,3)+1),CELL("address",AB361))</f>
        <v>G364</v>
      </c>
      <c r="L361" s="135" t="str">
        <f ca="1">IF(J360&gt;=6,(MID(K361,1,1)&amp;MID(K361,2,3)+1),CELL("address",AC361))</f>
        <v>$AC$361</v>
      </c>
      <c r="M361" s="135" t="str">
        <f ca="1">IF(J360&gt;=7,(MID(L361,1,1)&amp;MID(L361,2,3)+1),CELL("address",AD361))</f>
        <v>$AD$361</v>
      </c>
      <c r="N361" s="135" t="str">
        <f ca="1">IF(J360&gt;=8,(MID(M361,1,1)&amp;MID(M361,2,3)+1),CELL("address",AE361))</f>
        <v>$AE$361</v>
      </c>
      <c r="O361" s="135" t="str">
        <f ca="1">IF(J360&gt;=9,(MID(N361,1,1)&amp;MID(N361,2,3)+1),CELL("address",AF361))</f>
        <v>$AF$361</v>
      </c>
      <c r="P361" s="135" t="str">
        <f ca="1">IF(J360&gt;=10,(MID(O361,1,1)&amp;MID(O361,2,3)+1),CELL("address",AG361))</f>
        <v>$AG$361</v>
      </c>
      <c r="Q361" s="135" t="str">
        <f ca="1">IF(J360&gt;=11,(MID(P361,1,1)&amp;MID(P361,2,3)+1),CELL("address",AH361))</f>
        <v>$AH$361</v>
      </c>
      <c r="R361" s="135" t="str">
        <f ca="1">IF(J360&gt;=12,(MID(Q361,1,1)&amp;MID(Q361,2,3)+1),CELL("address",AI361))</f>
        <v>$AI$361</v>
      </c>
    </row>
    <row r="362" spans="1:8" ht="15" customHeight="1">
      <c r="A362" s="274"/>
      <c r="B362" s="274"/>
      <c r="C362" s="274"/>
      <c r="D362" s="39" t="s">
        <v>92</v>
      </c>
      <c r="E362" s="261">
        <v>0.371</v>
      </c>
      <c r="F362" s="1">
        <v>0.341</v>
      </c>
      <c r="G362" s="126" t="str">
        <f>CONCATENATE(D362," - ",E362,", ")</f>
        <v>4/core PVC Alumn. Cable scrap - 0.371, </v>
      </c>
      <c r="H362" s="139"/>
    </row>
    <row r="363" spans="1:8" ht="15" customHeight="1">
      <c r="A363" s="274"/>
      <c r="B363" s="274"/>
      <c r="C363" s="274"/>
      <c r="D363" s="105" t="s">
        <v>93</v>
      </c>
      <c r="E363" s="52">
        <v>0.944</v>
      </c>
      <c r="G363" s="126" t="str">
        <f>CONCATENATE(D363," - ",E363,", ")</f>
        <v>3/ core XLPE Alu cable scrap - 0.944, </v>
      </c>
      <c r="H363" s="139"/>
    </row>
    <row r="364" spans="1:8" ht="15" customHeight="1">
      <c r="A364" s="45"/>
      <c r="B364" s="47"/>
      <c r="C364" s="48"/>
      <c r="D364" s="51"/>
      <c r="E364" s="52"/>
      <c r="G364" s="126"/>
      <c r="H364" s="139"/>
    </row>
    <row r="365" spans="1:8" ht="15" customHeight="1">
      <c r="A365" s="56"/>
      <c r="B365" s="266"/>
      <c r="C365" s="267"/>
      <c r="D365" s="104"/>
      <c r="E365" s="57">
        <f>SUM(E367:E370)</f>
        <v>2.061</v>
      </c>
      <c r="G365" s="126"/>
      <c r="H365" s="139"/>
    </row>
    <row r="366" spans="1:18" ht="15" customHeight="1">
      <c r="A366" s="46" t="s">
        <v>5</v>
      </c>
      <c r="B366" s="293" t="s">
        <v>17</v>
      </c>
      <c r="C366" s="294"/>
      <c r="D366" s="262" t="s">
        <v>18</v>
      </c>
      <c r="E366" s="46" t="s">
        <v>7</v>
      </c>
      <c r="G366" s="128" t="str">
        <f>CONCATENATE("Cable Scrap, Lying at ",B367,". Quantity in MT - ")</f>
        <v>Cable Scrap, Lying at OL Malerkotla. Quantity in MT - </v>
      </c>
      <c r="H366" s="273" t="str">
        <f ca="1">CONCATENATE(G366,G367,(INDIRECT(I367)),(INDIRECT(J367)),(INDIRECT(K367)),(INDIRECT(L367)),(INDIRECT(M367)),(INDIRECT(N367)),(INDIRECT(O367)),(INDIRECT(P367)),(INDIRECT(Q367)),(INDIRECT(R367)),".")</f>
        <v>Cable Scrap, Lying at OL Malerkotla. Quantity in MT - 2/core PVC Alumn. Cable scrap - 0.297, 4/core PVC Alumn. Cable scrap - 0.547, 3/ core XLPE Alu cable scrap - 0.745, ABC cable scrap (70/95 mm) - 0.472, .</v>
      </c>
      <c r="I366" s="135" t="str">
        <f aca="true" ca="1" t="array" ref="I366">CELL("address",INDEX(G366:G410,MATCH(TRUE,ISBLANK(G366:G410),0)))</f>
        <v>$G$371</v>
      </c>
      <c r="J366" s="135">
        <f aca="true" t="array" ref="J366">MATCH(TRUE,ISBLANK(G366:G410),0)</f>
        <v>6</v>
      </c>
      <c r="K366" s="135">
        <f>J366-3</f>
        <v>3</v>
      </c>
      <c r="L366" s="135"/>
      <c r="M366" s="135"/>
      <c r="N366" s="135"/>
      <c r="O366" s="135"/>
      <c r="P366" s="135"/>
      <c r="Q366" s="135"/>
      <c r="R366" s="135"/>
    </row>
    <row r="367" spans="1:18" ht="15" customHeight="1">
      <c r="A367" s="274" t="s">
        <v>284</v>
      </c>
      <c r="B367" s="274" t="s">
        <v>128</v>
      </c>
      <c r="C367" s="274"/>
      <c r="D367" s="39" t="s">
        <v>91</v>
      </c>
      <c r="E367" s="257">
        <v>0.297</v>
      </c>
      <c r="F367" s="1">
        <v>0.284</v>
      </c>
      <c r="G367" s="126" t="str">
        <f>CONCATENATE(D367," - ",E367,", ")</f>
        <v>2/core PVC Alumn. Cable scrap - 0.297, </v>
      </c>
      <c r="H367" s="273"/>
      <c r="I367" s="135" t="str">
        <f ca="1">IF(J366&gt;=3,(MID(I366,2,1)&amp;MID(I366,4,3)-K366),CELL("address",Z367))</f>
        <v>G368</v>
      </c>
      <c r="J367" s="135" t="str">
        <f ca="1">IF(J366&gt;=4,(MID(I367,1,1)&amp;MID(I367,2,3)+1),CELL("address",AA367))</f>
        <v>G369</v>
      </c>
      <c r="K367" s="135" t="str">
        <f ca="1">IF(J366&gt;=5,(MID(J367,1,1)&amp;MID(J367,2,3)+1),CELL("address",AB367))</f>
        <v>G370</v>
      </c>
      <c r="L367" s="135" t="str">
        <f ca="1">IF(J366&gt;=6,(MID(K367,1,1)&amp;MID(K367,2,3)+1),CELL("address",AC367))</f>
        <v>G371</v>
      </c>
      <c r="M367" s="135" t="str">
        <f ca="1">IF(J366&gt;=7,(MID(L367,1,1)&amp;MID(L367,2,3)+1),CELL("address",AD367))</f>
        <v>$AD$367</v>
      </c>
      <c r="N367" s="135" t="str">
        <f ca="1">IF(J366&gt;=8,(MID(M367,1,1)&amp;MID(M367,2,3)+1),CELL("address",AE367))</f>
        <v>$AE$367</v>
      </c>
      <c r="O367" s="135" t="str">
        <f ca="1">IF(J366&gt;=9,(MID(N367,1,1)&amp;MID(N367,2,3)+1),CELL("address",AF367))</f>
        <v>$AF$367</v>
      </c>
      <c r="P367" s="135" t="str">
        <f ca="1">IF(J366&gt;=10,(MID(O367,1,1)&amp;MID(O367,2,3)+1),CELL("address",AG367))</f>
        <v>$AG$367</v>
      </c>
      <c r="Q367" s="135" t="str">
        <f ca="1">IF(J366&gt;=11,(MID(P367,1,1)&amp;MID(P367,2,3)+1),CELL("address",AH367))</f>
        <v>$AH$367</v>
      </c>
      <c r="R367" s="135" t="str">
        <f ca="1">IF(J366&gt;=12,(MID(Q367,1,1)&amp;MID(Q367,2,3)+1),CELL("address",AI367))</f>
        <v>$AI$367</v>
      </c>
    </row>
    <row r="368" spans="1:8" ht="15" customHeight="1">
      <c r="A368" s="274"/>
      <c r="B368" s="274"/>
      <c r="C368" s="274"/>
      <c r="D368" s="39" t="s">
        <v>92</v>
      </c>
      <c r="E368" s="261">
        <v>0.547</v>
      </c>
      <c r="F368" s="1">
        <v>0.535</v>
      </c>
      <c r="G368" s="126" t="str">
        <f>CONCATENATE(D368," - ",E368,", ")</f>
        <v>4/core PVC Alumn. Cable scrap - 0.547, </v>
      </c>
      <c r="H368" s="139"/>
    </row>
    <row r="369" spans="1:8" ht="15" customHeight="1">
      <c r="A369" s="274"/>
      <c r="B369" s="274"/>
      <c r="C369" s="274"/>
      <c r="D369" s="39" t="s">
        <v>93</v>
      </c>
      <c r="E369" s="261">
        <v>0.745</v>
      </c>
      <c r="F369" s="1">
        <v>0.72</v>
      </c>
      <c r="G369" s="126" t="str">
        <f>CONCATENATE(D369," - ",E369,", ")</f>
        <v>3/ core XLPE Alu cable scrap - 0.745, </v>
      </c>
      <c r="H369" s="139"/>
    </row>
    <row r="370" spans="1:8" ht="15" customHeight="1">
      <c r="A370" s="274"/>
      <c r="B370" s="274"/>
      <c r="C370" s="274"/>
      <c r="D370" s="88" t="s">
        <v>175</v>
      </c>
      <c r="E370" s="89">
        <v>0.472</v>
      </c>
      <c r="G370" s="126" t="str">
        <f>CONCATENATE(D370," - ",E370,", ")</f>
        <v>ABC cable scrap (70/95 mm) - 0.472, </v>
      </c>
      <c r="H370" s="139"/>
    </row>
    <row r="371" spans="1:8" ht="15" customHeight="1">
      <c r="A371" s="45"/>
      <c r="B371" s="47"/>
      <c r="C371" s="48"/>
      <c r="D371" s="95"/>
      <c r="E371" s="96"/>
      <c r="G371" s="126"/>
      <c r="H371" s="139"/>
    </row>
    <row r="372" spans="1:8" ht="15" customHeight="1">
      <c r="A372" s="56"/>
      <c r="B372" s="266"/>
      <c r="C372" s="267"/>
      <c r="D372" s="104"/>
      <c r="E372" s="57">
        <f>SUM(E374:E377)</f>
        <v>4.504</v>
      </c>
      <c r="G372" s="126"/>
      <c r="H372" s="139"/>
    </row>
    <row r="373" spans="1:18" ht="15" customHeight="1">
      <c r="A373" s="46" t="s">
        <v>5</v>
      </c>
      <c r="B373" s="293" t="s">
        <v>17</v>
      </c>
      <c r="C373" s="294"/>
      <c r="D373" s="262" t="s">
        <v>18</v>
      </c>
      <c r="E373" s="46" t="s">
        <v>7</v>
      </c>
      <c r="G373" s="128" t="str">
        <f>CONCATENATE("Cable Scrap, Lying at ",B374,". Quantity in MT - ")</f>
        <v>Cable Scrap, Lying at OL Moga. Quantity in MT - </v>
      </c>
      <c r="H373" s="273" t="str">
        <f ca="1">CONCATENATE(G373,G374,(INDIRECT(I374)),(INDIRECT(J374)),(INDIRECT(K374)),(INDIRECT(L374)),(INDIRECT(M374)),(INDIRECT(N374)),(INDIRECT(O374)),(INDIRECT(P374)),(INDIRECT(Q374)),(INDIRECT(R374)),".")</f>
        <v>Cable Scrap, Lying at OL Moga. Quantity in MT - 2/core PVC Alumn. Cable scrap - 1.131, 4/core PVC Alumn. Cable scrap - 1.778, 1/ core XLPE Alu cable scrap - 0.215, 3/ core XLPE Alu cable scrap - 1.38, .</v>
      </c>
      <c r="I373" s="135" t="str">
        <f aca="true" ca="1" t="array" ref="I373">CELL("address",INDEX(G373:G418,MATCH(TRUE,ISBLANK(G373:G418),0)))</f>
        <v>$G$378</v>
      </c>
      <c r="J373" s="135">
        <f aca="true" t="array" ref="J373">MATCH(TRUE,ISBLANK(G373:G418),0)</f>
        <v>6</v>
      </c>
      <c r="K373" s="135">
        <f>J373-3</f>
        <v>3</v>
      </c>
      <c r="L373" s="135"/>
      <c r="M373" s="135"/>
      <c r="N373" s="135"/>
      <c r="O373" s="135"/>
      <c r="P373" s="135"/>
      <c r="Q373" s="135"/>
      <c r="R373" s="135"/>
    </row>
    <row r="374" spans="1:18" ht="15" customHeight="1">
      <c r="A374" s="274" t="s">
        <v>287</v>
      </c>
      <c r="B374" s="274" t="s">
        <v>288</v>
      </c>
      <c r="C374" s="274"/>
      <c r="D374" s="51" t="s">
        <v>91</v>
      </c>
      <c r="E374" s="46">
        <v>1.131</v>
      </c>
      <c r="G374" s="126" t="str">
        <f>CONCATENATE(D374," - ",E374,", ")</f>
        <v>2/core PVC Alumn. Cable scrap - 1.131, </v>
      </c>
      <c r="H374" s="273"/>
      <c r="I374" s="135" t="str">
        <f ca="1">IF(J373&gt;=3,(MID(I373,2,1)&amp;MID(I373,4,3)-K373),CELL("address",Z374))</f>
        <v>G375</v>
      </c>
      <c r="J374" s="135" t="str">
        <f ca="1">IF(J373&gt;=4,(MID(I374,1,1)&amp;MID(I374,2,3)+1),CELL("address",AA374))</f>
        <v>G376</v>
      </c>
      <c r="K374" s="135" t="str">
        <f ca="1">IF(J373&gt;=5,(MID(J374,1,1)&amp;MID(J374,2,3)+1),CELL("address",AB374))</f>
        <v>G377</v>
      </c>
      <c r="L374" s="135" t="str">
        <f ca="1">IF(J373&gt;=6,(MID(K374,1,1)&amp;MID(K374,2,3)+1),CELL("address",AC374))</f>
        <v>G378</v>
      </c>
      <c r="M374" s="135" t="str">
        <f ca="1">IF(J373&gt;=7,(MID(L374,1,1)&amp;MID(L374,2,3)+1),CELL("address",AD374))</f>
        <v>$AD$374</v>
      </c>
      <c r="N374" s="135" t="str">
        <f ca="1">IF(J373&gt;=8,(MID(M374,1,1)&amp;MID(M374,2,3)+1),CELL("address",AE374))</f>
        <v>$AE$374</v>
      </c>
      <c r="O374" s="135" t="str">
        <f ca="1">IF(J373&gt;=9,(MID(N374,1,1)&amp;MID(N374,2,3)+1),CELL("address",AF374))</f>
        <v>$AF$374</v>
      </c>
      <c r="P374" s="135" t="str">
        <f ca="1">IF(J373&gt;=10,(MID(O374,1,1)&amp;MID(O374,2,3)+1),CELL("address",AG374))</f>
        <v>$AG$374</v>
      </c>
      <c r="Q374" s="135" t="str">
        <f ca="1">IF(J373&gt;=11,(MID(P374,1,1)&amp;MID(P374,2,3)+1),CELL("address",AH374))</f>
        <v>$AH$374</v>
      </c>
      <c r="R374" s="135" t="str">
        <f ca="1">IF(J373&gt;=12,(MID(Q374,1,1)&amp;MID(Q374,2,3)+1),CELL("address",AI374))</f>
        <v>$AI$374</v>
      </c>
    </row>
    <row r="375" spans="1:8" ht="15" customHeight="1">
      <c r="A375" s="274"/>
      <c r="B375" s="274"/>
      <c r="C375" s="274"/>
      <c r="D375" s="51" t="s">
        <v>92</v>
      </c>
      <c r="E375" s="52">
        <v>1.778</v>
      </c>
      <c r="G375" s="126" t="str">
        <f>CONCATENATE(D375," - ",E375,", ")</f>
        <v>4/core PVC Alumn. Cable scrap - 1.778, </v>
      </c>
      <c r="H375" s="139"/>
    </row>
    <row r="376" spans="1:8" ht="15" customHeight="1">
      <c r="A376" s="274"/>
      <c r="B376" s="274"/>
      <c r="C376" s="274"/>
      <c r="D376" s="51" t="s">
        <v>98</v>
      </c>
      <c r="E376" s="52">
        <v>0.215</v>
      </c>
      <c r="G376" s="126" t="str">
        <f>CONCATENATE(D376," - ",E376,", ")</f>
        <v>1/ core XLPE Alu cable scrap - 0.215, </v>
      </c>
      <c r="H376" s="139"/>
    </row>
    <row r="377" spans="1:8" ht="15" customHeight="1">
      <c r="A377" s="274"/>
      <c r="B377" s="274"/>
      <c r="C377" s="274"/>
      <c r="D377" s="51" t="s">
        <v>93</v>
      </c>
      <c r="E377" s="89">
        <v>1.38</v>
      </c>
      <c r="G377" s="126" t="str">
        <f>CONCATENATE(D377," - ",E377,", ")</f>
        <v>3/ core XLPE Alu cable scrap - 1.38, </v>
      </c>
      <c r="H377" s="139"/>
    </row>
    <row r="378" spans="1:8" ht="15" customHeight="1">
      <c r="A378" s="45"/>
      <c r="B378" s="47"/>
      <c r="C378" s="48"/>
      <c r="D378" s="39"/>
      <c r="E378" s="96"/>
      <c r="G378" s="126"/>
      <c r="H378" s="139"/>
    </row>
    <row r="379" spans="1:8" ht="15" customHeight="1">
      <c r="A379" s="13" t="s">
        <v>13</v>
      </c>
      <c r="B379" s="14"/>
      <c r="C379" s="10"/>
      <c r="D379" s="39"/>
      <c r="E379" s="40"/>
      <c r="G379" s="126"/>
      <c r="H379" s="139"/>
    </row>
    <row r="380" spans="1:8" ht="15" customHeight="1">
      <c r="A380" s="60"/>
      <c r="B380" s="61"/>
      <c r="C380" s="62"/>
      <c r="D380" s="62"/>
      <c r="E380" s="63">
        <f>SUM(E382:E383)</f>
        <v>22.312</v>
      </c>
      <c r="G380" s="126"/>
      <c r="H380" s="139"/>
    </row>
    <row r="381" spans="1:18" ht="15" customHeight="1">
      <c r="A381" s="274" t="s">
        <v>5</v>
      </c>
      <c r="B381" s="274"/>
      <c r="C381" s="64" t="s">
        <v>17</v>
      </c>
      <c r="D381" s="256" t="s">
        <v>18</v>
      </c>
      <c r="E381" s="46" t="s">
        <v>7</v>
      </c>
      <c r="G381" s="128" t="str">
        <f>CONCATENATE("Misc. Iron Scrap, Lying at ",C382,". Quantity in MT - ")</f>
        <v>Misc. Iron Scrap, Lying at Pilot W/Shop Sri Muktsar Sahib. Quantity in MT - </v>
      </c>
      <c r="H381" s="273" t="str">
        <f ca="1">CONCATENATE(G381,G382,(INDIRECT(I382)),(INDIRECT(J382)),(INDIRECT(K382)),(INDIRECT(L382)),(INDIRECT(M382)),(INDIRECT(N382)),(INDIRECT(O382)),(INDIRECT(P382)),(INDIRECT(Q382)),(INDIRECT(R382)),".")</f>
        <v>Misc. Iron Scrap, Lying at Pilot W/Shop Sri Muktsar Sahib. Quantity in MT - MS iron scrap / GI scrap - 10.182, HT wire scrap off size - 12.13, .</v>
      </c>
      <c r="I381" s="135" t="str">
        <f aca="true" ca="1" t="array" ref="I381">CELL("address",INDEX(G381:G399,MATCH(TRUE,ISBLANK(G381:G399),0)))</f>
        <v>$G$384</v>
      </c>
      <c r="J381" s="135">
        <f aca="true" t="array" ref="J381">MATCH(TRUE,ISBLANK(G381:G399),0)</f>
        <v>4</v>
      </c>
      <c r="K381" s="135">
        <f>J381-3</f>
        <v>1</v>
      </c>
      <c r="L381" s="135"/>
      <c r="M381" s="135"/>
      <c r="N381" s="135"/>
      <c r="O381" s="135"/>
      <c r="P381" s="135"/>
      <c r="Q381" s="135"/>
      <c r="R381" s="135"/>
    </row>
    <row r="382" spans="1:18" ht="15" customHeight="1">
      <c r="A382" s="281" t="s">
        <v>21</v>
      </c>
      <c r="B382" s="362"/>
      <c r="C382" s="277" t="s">
        <v>19</v>
      </c>
      <c r="D382" s="46" t="s">
        <v>20</v>
      </c>
      <c r="E382" s="52">
        <v>10.182</v>
      </c>
      <c r="G382" s="126" t="str">
        <f>CONCATENATE(D382," - ",E382,", ")</f>
        <v>MS iron scrap / GI scrap - 10.182, </v>
      </c>
      <c r="H382" s="273"/>
      <c r="I382" s="135" t="str">
        <f ca="1">IF(J381&gt;=3,(MID(I381,2,1)&amp;MID(I381,4,3)-K381),CELL("address",Z382))</f>
        <v>G383</v>
      </c>
      <c r="J382" s="135" t="str">
        <f ca="1">IF(J381&gt;=4,(MID(I382,1,1)&amp;MID(I382,2,3)+1),CELL("address",AA382))</f>
        <v>G384</v>
      </c>
      <c r="K382" s="135" t="str">
        <f ca="1">IF(J381&gt;=5,(MID(J382,1,1)&amp;MID(J382,2,3)+1),CELL("address",AB382))</f>
        <v>$AB$382</v>
      </c>
      <c r="L382" s="135" t="str">
        <f ca="1">IF(J381&gt;=6,(MID(K382,1,1)&amp;MID(K382,2,3)+1),CELL("address",AC382))</f>
        <v>$AC$382</v>
      </c>
      <c r="M382" s="135" t="str">
        <f ca="1">IF(J381&gt;=7,(MID(L382,1,1)&amp;MID(L382,2,3)+1),CELL("address",AD382))</f>
        <v>$AD$382</v>
      </c>
      <c r="N382" s="135" t="str">
        <f ca="1">IF(J381&gt;=8,(MID(M382,1,1)&amp;MID(M382,2,3)+1),CELL("address",AE382))</f>
        <v>$AE$382</v>
      </c>
      <c r="O382" s="135" t="str">
        <f ca="1">IF(J381&gt;=9,(MID(N382,1,1)&amp;MID(N382,2,3)+1),CELL("address",AF382))</f>
        <v>$AF$382</v>
      </c>
      <c r="P382" s="135" t="str">
        <f ca="1">IF(J381&gt;=10,(MID(O382,1,1)&amp;MID(O382,2,3)+1),CELL("address",AG382))</f>
        <v>$AG$382</v>
      </c>
      <c r="Q382" s="135" t="str">
        <f ca="1">IF(J381&gt;=11,(MID(P382,1,1)&amp;MID(P382,2,3)+1),CELL("address",AH382))</f>
        <v>$AH$382</v>
      </c>
      <c r="R382" s="135" t="str">
        <f ca="1">IF(J381&gt;=12,(MID(Q382,1,1)&amp;MID(Q382,2,3)+1),CELL("address",AI382))</f>
        <v>$AI$382</v>
      </c>
    </row>
    <row r="383" spans="1:8" ht="15" customHeight="1">
      <c r="A383" s="346"/>
      <c r="B383" s="347"/>
      <c r="C383" s="319"/>
      <c r="D383" s="46" t="s">
        <v>72</v>
      </c>
      <c r="E383" s="52">
        <v>12.13</v>
      </c>
      <c r="G383" s="126" t="str">
        <f>CONCATENATE(D383," - ",E383,", ")</f>
        <v>HT wire scrap off size - 12.13, </v>
      </c>
      <c r="H383" s="139"/>
    </row>
    <row r="384" spans="1:8" ht="15" customHeight="1">
      <c r="A384" s="45"/>
      <c r="B384" s="47"/>
      <c r="C384" s="54"/>
      <c r="D384" s="44"/>
      <c r="E384" s="65"/>
      <c r="G384" s="126"/>
      <c r="H384" s="139"/>
    </row>
    <row r="385" spans="1:8" ht="15" customHeight="1">
      <c r="A385" s="60"/>
      <c r="B385" s="61"/>
      <c r="C385" s="62"/>
      <c r="D385" s="62"/>
      <c r="E385" s="63">
        <f>SUM(E387:E388)</f>
        <v>19.325</v>
      </c>
      <c r="G385" s="126"/>
      <c r="H385" s="139"/>
    </row>
    <row r="386" spans="1:18" ht="15" customHeight="1">
      <c r="A386" s="274" t="s">
        <v>5</v>
      </c>
      <c r="B386" s="274"/>
      <c r="C386" s="64" t="s">
        <v>17</v>
      </c>
      <c r="D386" s="256" t="s">
        <v>18</v>
      </c>
      <c r="E386" s="46" t="s">
        <v>7</v>
      </c>
      <c r="G386" s="128" t="str">
        <f>CONCATENATE("Misc. Iron Scrap, Lying at ",C387,". Quantity in MT - ")</f>
        <v>Misc. Iron Scrap, Lying at Pilot Workshop Mohali. Quantity in MT - </v>
      </c>
      <c r="H386" s="273" t="str">
        <f ca="1">CONCATENATE(G386,G387,(INDIRECT(I387)),(INDIRECT(J387)),(INDIRECT(K387)),(INDIRECT(L387)),(INDIRECT(M387)),(INDIRECT(N387)),(INDIRECT(O387)),(INDIRECT(P387)),(INDIRECT(Q387)),(INDIRECT(R387)),".")</f>
        <v>Misc. Iron Scrap, Lying at Pilot Workshop Mohali. Quantity in MT - HT Wire scrap &amp; other intermingled iron scrap - 14, MS iron scrap ( MS sections, scrapped T&amp;P etc) - 5.325, .</v>
      </c>
      <c r="I386" s="135" t="str">
        <f aca="true" ca="1" t="array" ref="I386">CELL("address",INDEX(G386:G406,MATCH(TRUE,ISBLANK(G386:G406),0)))</f>
        <v>$G$389</v>
      </c>
      <c r="J386" s="135">
        <f aca="true" t="array" ref="J386">MATCH(TRUE,ISBLANK(G386:G406),0)</f>
        <v>4</v>
      </c>
      <c r="K386" s="135">
        <f>J386-3</f>
        <v>1</v>
      </c>
      <c r="L386" s="135"/>
      <c r="M386" s="135"/>
      <c r="N386" s="135"/>
      <c r="O386" s="135"/>
      <c r="P386" s="135"/>
      <c r="Q386" s="135"/>
      <c r="R386" s="135"/>
    </row>
    <row r="387" spans="1:18" ht="15" customHeight="1">
      <c r="A387" s="274" t="s">
        <v>30</v>
      </c>
      <c r="B387" s="274"/>
      <c r="C387" s="277" t="s">
        <v>55</v>
      </c>
      <c r="D387" s="48" t="s">
        <v>56</v>
      </c>
      <c r="E387" s="52">
        <v>14</v>
      </c>
      <c r="G387" s="126" t="str">
        <f>CONCATENATE(D387," - ",E387,", ")</f>
        <v>HT Wire scrap &amp; other intermingled iron scrap - 14, </v>
      </c>
      <c r="H387" s="273"/>
      <c r="I387" s="135" t="str">
        <f ca="1">IF(J386&gt;=3,(MID(I386,2,1)&amp;MID(I386,4,3)-K386),CELL("address",Z387))</f>
        <v>G388</v>
      </c>
      <c r="J387" s="135" t="str">
        <f ca="1">IF(J386&gt;=4,(MID(I387,1,1)&amp;MID(I387,2,3)+1),CELL("address",AA387))</f>
        <v>G389</v>
      </c>
      <c r="K387" s="135" t="str">
        <f ca="1">IF(J386&gt;=5,(MID(J387,1,1)&amp;MID(J387,2,3)+1),CELL("address",AB387))</f>
        <v>$AB$387</v>
      </c>
      <c r="L387" s="135" t="str">
        <f ca="1">IF(J386&gt;=6,(MID(K387,1,1)&amp;MID(K387,2,3)+1),CELL("address",AC387))</f>
        <v>$AC$387</v>
      </c>
      <c r="M387" s="135" t="str">
        <f ca="1">IF(J386&gt;=7,(MID(L387,1,1)&amp;MID(L387,2,3)+1),CELL("address",AD387))</f>
        <v>$AD$387</v>
      </c>
      <c r="N387" s="135" t="str">
        <f ca="1">IF(J386&gt;=8,(MID(M387,1,1)&amp;MID(M387,2,3)+1),CELL("address",AE387))</f>
        <v>$AE$387</v>
      </c>
      <c r="O387" s="135" t="str">
        <f ca="1">IF(J386&gt;=9,(MID(N387,1,1)&amp;MID(N387,2,3)+1),CELL("address",AF387))</f>
        <v>$AF$387</v>
      </c>
      <c r="P387" s="135" t="str">
        <f ca="1">IF(J386&gt;=10,(MID(O387,1,1)&amp;MID(O387,2,3)+1),CELL("address",AG387))</f>
        <v>$AG$387</v>
      </c>
      <c r="Q387" s="135" t="str">
        <f ca="1">IF(J386&gt;=11,(MID(P387,1,1)&amp;MID(P387,2,3)+1),CELL("address",AH387))</f>
        <v>$AH$387</v>
      </c>
      <c r="R387" s="135" t="str">
        <f ca="1">IF(J386&gt;=12,(MID(Q387,1,1)&amp;MID(Q387,2,3)+1),CELL("address",AI387))</f>
        <v>$AI$387</v>
      </c>
    </row>
    <row r="388" spans="1:8" ht="15" customHeight="1">
      <c r="A388" s="274"/>
      <c r="B388" s="274"/>
      <c r="C388" s="277"/>
      <c r="D388" s="93" t="s">
        <v>57</v>
      </c>
      <c r="E388" s="52">
        <v>5.325</v>
      </c>
      <c r="G388" s="126" t="str">
        <f>CONCATENATE(D388," - ",E388,", ")</f>
        <v>MS iron scrap ( MS sections, scrapped T&amp;P etc) - 5.325, </v>
      </c>
      <c r="H388" s="139"/>
    </row>
    <row r="389" spans="1:8" ht="15" customHeight="1">
      <c r="A389" s="45"/>
      <c r="B389" s="47"/>
      <c r="C389" s="54"/>
      <c r="D389" s="44"/>
      <c r="E389" s="65"/>
      <c r="G389" s="126"/>
      <c r="H389" s="139"/>
    </row>
    <row r="390" spans="1:8" ht="15" customHeight="1">
      <c r="A390" s="60"/>
      <c r="B390" s="61"/>
      <c r="C390" s="61"/>
      <c r="D390" s="62"/>
      <c r="E390" s="66">
        <f>SUM(E392:E392)</f>
        <v>26687</v>
      </c>
      <c r="G390" s="126"/>
      <c r="H390" s="139"/>
    </row>
    <row r="391" spans="1:18" ht="15" customHeight="1">
      <c r="A391" s="274" t="s">
        <v>5</v>
      </c>
      <c r="B391" s="274"/>
      <c r="C391" s="46" t="s">
        <v>17</v>
      </c>
      <c r="D391" s="256" t="s">
        <v>18</v>
      </c>
      <c r="E391" s="46" t="s">
        <v>70</v>
      </c>
      <c r="G391" s="128" t="str">
        <f>CONCATENATE("Misc. Iron Scrap, Lying at ",C392,". Quantity in No - ")</f>
        <v>Misc. Iron Scrap, Lying at S &amp; T Store Bathinda. Quantity in No - </v>
      </c>
      <c r="H391" s="273" t="str">
        <f ca="1">CONCATENATE(G391,G392,(INDIRECT(I392)),(INDIRECT(J392)),(INDIRECT(K392)),(INDIRECT(L392)),(INDIRECT(M392)),(INDIRECT(N392)),(INDIRECT(O392)),(INDIRECT(P392)),(INDIRECT(Q392)),(INDIRECT(R392)),".")</f>
        <v>Misc. Iron Scrap, Lying at S &amp; T Store Bathinda. Quantity in No - Disc Insulator Scrap - 26687, .</v>
      </c>
      <c r="I391" s="135" t="str">
        <f aca="true" ca="1" t="array" ref="I391">CELL("address",INDEX(G391:G414,MATCH(TRUE,ISBLANK(G391:G414),0)))</f>
        <v>$G$393</v>
      </c>
      <c r="J391" s="135">
        <f aca="true" t="array" ref="J391">MATCH(TRUE,ISBLANK(G391:G414),0)</f>
        <v>3</v>
      </c>
      <c r="K391" s="135">
        <f>J391-3</f>
        <v>0</v>
      </c>
      <c r="L391" s="135"/>
      <c r="M391" s="135"/>
      <c r="N391" s="135"/>
      <c r="O391" s="135"/>
      <c r="P391" s="135"/>
      <c r="Q391" s="135"/>
      <c r="R391" s="135"/>
    </row>
    <row r="392" spans="1:18" ht="15" customHeight="1">
      <c r="A392" s="281" t="s">
        <v>33</v>
      </c>
      <c r="B392" s="282"/>
      <c r="C392" s="259" t="s">
        <v>58</v>
      </c>
      <c r="D392" s="46" t="s">
        <v>71</v>
      </c>
      <c r="E392" s="67">
        <v>26687</v>
      </c>
      <c r="G392" s="126" t="str">
        <f>CONCATENATE(D392," - ",E392,", ")</f>
        <v>Disc Insulator Scrap - 26687, </v>
      </c>
      <c r="H392" s="273"/>
      <c r="I392" s="135" t="str">
        <f ca="1">IF(J391&gt;=3,(MID(I391,2,1)&amp;MID(I391,4,3)-K391),CELL("address",Z392))</f>
        <v>G393</v>
      </c>
      <c r="J392" s="135" t="str">
        <f ca="1">IF(J391&gt;=4,(MID(I392,1,1)&amp;MID(I392,2,3)+1),CELL("address",AA392))</f>
        <v>$AA$392</v>
      </c>
      <c r="K392" s="135" t="str">
        <f ca="1">IF(J391&gt;=5,(MID(J392,1,1)&amp;MID(J392,2,3)+1),CELL("address",AB392))</f>
        <v>$AB$392</v>
      </c>
      <c r="L392" s="135" t="str">
        <f ca="1">IF(J391&gt;=6,(MID(K392,1,1)&amp;MID(K392,2,3)+1),CELL("address",AC392))</f>
        <v>$AC$392</v>
      </c>
      <c r="M392" s="135" t="str">
        <f ca="1">IF(J391&gt;=7,(MID(L392,1,1)&amp;MID(L392,2,3)+1),CELL("address",AD392))</f>
        <v>$AD$392</v>
      </c>
      <c r="N392" s="135" t="str">
        <f ca="1">IF(J391&gt;=8,(MID(M392,1,1)&amp;MID(M392,2,3)+1),CELL("address",AE392))</f>
        <v>$AE$392</v>
      </c>
      <c r="O392" s="135" t="str">
        <f ca="1">IF(J391&gt;=9,(MID(N392,1,1)&amp;MID(N392,2,3)+1),CELL("address",AF392))</f>
        <v>$AF$392</v>
      </c>
      <c r="P392" s="135" t="str">
        <f ca="1">IF(J391&gt;=10,(MID(O392,1,1)&amp;MID(O392,2,3)+1),CELL("address",AG392))</f>
        <v>$AG$392</v>
      </c>
      <c r="Q392" s="135" t="str">
        <f ca="1">IF(J391&gt;=11,(MID(P392,1,1)&amp;MID(P392,2,3)+1),CELL("address",AH392))</f>
        <v>$AH$392</v>
      </c>
      <c r="R392" s="135" t="str">
        <f ca="1">IF(J391&gt;=12,(MID(Q392,1,1)&amp;MID(Q392,2,3)+1),CELL("address",AI392))</f>
        <v>$AI$392</v>
      </c>
    </row>
    <row r="393" spans="1:8" ht="15" customHeight="1">
      <c r="A393" s="45"/>
      <c r="B393" s="48"/>
      <c r="C393" s="256"/>
      <c r="D393" s="46"/>
      <c r="E393" s="68"/>
      <c r="G393" s="126"/>
      <c r="H393" s="139"/>
    </row>
    <row r="394" spans="1:8" ht="15" customHeight="1">
      <c r="A394" s="60"/>
      <c r="B394" s="61"/>
      <c r="C394" s="61"/>
      <c r="D394" s="62"/>
      <c r="E394" s="63">
        <f>SUM(E396:E397)</f>
        <v>128.268</v>
      </c>
      <c r="G394" s="126"/>
      <c r="H394" s="139"/>
    </row>
    <row r="395" spans="1:18" ht="15" customHeight="1">
      <c r="A395" s="274" t="s">
        <v>5</v>
      </c>
      <c r="B395" s="274"/>
      <c r="C395" s="46" t="s">
        <v>17</v>
      </c>
      <c r="D395" s="256" t="s">
        <v>18</v>
      </c>
      <c r="E395" s="46" t="s">
        <v>7</v>
      </c>
      <c r="G395" s="128" t="str">
        <f>CONCATENATE("Misc. Iron Scrap, Lying at ",C396,". Quantity in MT - ")</f>
        <v>Misc. Iron Scrap, Lying at S &amp; T Store Bathinda. Quantity in MT - </v>
      </c>
      <c r="H395" s="273" t="str">
        <f ca="1">CONCATENATE(G395,G396,(INDIRECT(I396)),(INDIRECT(J396)),(INDIRECT(K396)),(INDIRECT(L396)),(INDIRECT(M396)),(INDIRECT(N396)),(INDIRECT(O396)),(INDIRECT(P396)),(INDIRECT(Q396)),(INDIRECT(R396)),".")</f>
        <v>Misc. Iron Scrap, Lying at S &amp; T Store Bathinda. Quantity in MT - MS Rail scrap - 123.916, Earthwire GSL scrap - 4.352, .</v>
      </c>
      <c r="I395" s="135" t="str">
        <f aca="true" ca="1" t="array" ref="I395">CELL("address",INDEX(G395:G419,MATCH(TRUE,ISBLANK(G395:G419),0)))</f>
        <v>$G$398</v>
      </c>
      <c r="J395" s="135">
        <f aca="true" t="array" ref="J395">MATCH(TRUE,ISBLANK(G395:G419),0)</f>
        <v>4</v>
      </c>
      <c r="K395" s="135">
        <f>J395-3</f>
        <v>1</v>
      </c>
      <c r="L395" s="135"/>
      <c r="M395" s="135"/>
      <c r="N395" s="135"/>
      <c r="O395" s="135"/>
      <c r="P395" s="135"/>
      <c r="Q395" s="135"/>
      <c r="R395" s="135"/>
    </row>
    <row r="396" spans="1:18" ht="15" customHeight="1">
      <c r="A396" s="274" t="s">
        <v>51</v>
      </c>
      <c r="B396" s="274"/>
      <c r="C396" s="277" t="s">
        <v>58</v>
      </c>
      <c r="D396" s="46" t="s">
        <v>62</v>
      </c>
      <c r="E396" s="52">
        <v>123.916</v>
      </c>
      <c r="G396" s="126" t="str">
        <f>CONCATENATE(D396," - ",E396,", ")</f>
        <v>MS Rail scrap - 123.916, </v>
      </c>
      <c r="H396" s="273"/>
      <c r="I396" s="135" t="str">
        <f ca="1">IF(J395&gt;=3,(MID(I395,2,1)&amp;MID(I395,4,3)-K395),CELL("address",Z396))</f>
        <v>G397</v>
      </c>
      <c r="J396" s="135" t="str">
        <f ca="1">IF(J395&gt;=4,(MID(I396,1,1)&amp;MID(I396,2,3)+1),CELL("address",AA396))</f>
        <v>G398</v>
      </c>
      <c r="K396" s="135" t="str">
        <f ca="1">IF(J395&gt;=5,(MID(J396,1,1)&amp;MID(J396,2,3)+1),CELL("address",AB396))</f>
        <v>$AB$396</v>
      </c>
      <c r="L396" s="135" t="str">
        <f ca="1">IF(J395&gt;=6,(MID(K396,1,1)&amp;MID(K396,2,3)+1),CELL("address",AC396))</f>
        <v>$AC$396</v>
      </c>
      <c r="M396" s="135" t="str">
        <f ca="1">IF(J395&gt;=7,(MID(L396,1,1)&amp;MID(L396,2,3)+1),CELL("address",AD396))</f>
        <v>$AD$396</v>
      </c>
      <c r="N396" s="135" t="str">
        <f ca="1">IF(J395&gt;=8,(MID(M396,1,1)&amp;MID(M396,2,3)+1),CELL("address",AE396))</f>
        <v>$AE$396</v>
      </c>
      <c r="O396" s="135" t="str">
        <f ca="1">IF(J395&gt;=9,(MID(N396,1,1)&amp;MID(N396,2,3)+1),CELL("address",AF396))</f>
        <v>$AF$396</v>
      </c>
      <c r="P396" s="135" t="str">
        <f ca="1">IF(J395&gt;=10,(MID(O396,1,1)&amp;MID(O396,2,3)+1),CELL("address",AG396))</f>
        <v>$AG$396</v>
      </c>
      <c r="Q396" s="135" t="str">
        <f ca="1">IF(J395&gt;=11,(MID(P396,1,1)&amp;MID(P396,2,3)+1),CELL("address",AH396))</f>
        <v>$AH$396</v>
      </c>
      <c r="R396" s="135" t="str">
        <f ca="1">IF(J395&gt;=12,(MID(Q396,1,1)&amp;MID(Q396,2,3)+1),CELL("address",AI396))</f>
        <v>$AI$396</v>
      </c>
    </row>
    <row r="397" spans="1:8" ht="15" customHeight="1">
      <c r="A397" s="274"/>
      <c r="B397" s="274"/>
      <c r="C397" s="277"/>
      <c r="D397" s="46" t="s">
        <v>144</v>
      </c>
      <c r="E397" s="52">
        <v>4.352</v>
      </c>
      <c r="G397" s="126" t="str">
        <f>CONCATENATE(D397," - ",E397,", ")</f>
        <v>Earthwire GSL scrap - 4.352, </v>
      </c>
      <c r="H397" s="139"/>
    </row>
    <row r="398" spans="1:8" ht="15" customHeight="1">
      <c r="A398" s="45"/>
      <c r="B398" s="47"/>
      <c r="C398" s="54"/>
      <c r="D398" s="47"/>
      <c r="E398" s="69"/>
      <c r="G398" s="126"/>
      <c r="H398" s="139"/>
    </row>
    <row r="399" spans="1:8" ht="15" customHeight="1">
      <c r="A399" s="60"/>
      <c r="B399" s="61"/>
      <c r="C399" s="61"/>
      <c r="D399" s="64"/>
      <c r="E399" s="59">
        <f>SUM(E401:E403)</f>
        <v>2.7449999999999997</v>
      </c>
      <c r="G399" s="126"/>
      <c r="H399" s="139"/>
    </row>
    <row r="400" spans="1:18" ht="15" customHeight="1">
      <c r="A400" s="274" t="s">
        <v>5</v>
      </c>
      <c r="B400" s="274"/>
      <c r="C400" s="46" t="s">
        <v>17</v>
      </c>
      <c r="D400" s="256" t="s">
        <v>18</v>
      </c>
      <c r="E400" s="46" t="s">
        <v>7</v>
      </c>
      <c r="G400" s="128" t="str">
        <f>CONCATENATE("Misc. Iron Scrap, Lying at ",C401,". Quantity in MT - ")</f>
        <v>Misc. Iron Scrap, Lying at CS Ferozepur. Quantity in MT - </v>
      </c>
      <c r="H400" s="273" t="str">
        <f ca="1">CONCATENATE(G400,G401,(INDIRECT(I401)),(INDIRECT(J401)),(INDIRECT(K401)),(INDIRECT(L401)),(INDIRECT(M401)),(INDIRECT(N401)),(INDIRECT(O401)),(INDIRECT(P401)),(INDIRECT(Q401)),(INDIRECT(R401)),".")</f>
        <v>Misc. Iron Scrap, Lying at CS Ferozepur. Quantity in MT - MS iron scrap - 2.379, Teen Patra scrap - 0.32, G.I. Scrap - 0.046, .</v>
      </c>
      <c r="I400" s="135" t="str">
        <f aca="true" ca="1" t="array" ref="I400">CELL("address",INDEX(G400:G421,MATCH(TRUE,ISBLANK(G400:G421),0)))</f>
        <v>$G$404</v>
      </c>
      <c r="J400" s="135">
        <f aca="true" t="array" ref="J400">MATCH(TRUE,ISBLANK(G400:G421),0)</f>
        <v>5</v>
      </c>
      <c r="K400" s="135">
        <f>J400-3</f>
        <v>2</v>
      </c>
      <c r="L400" s="135"/>
      <c r="M400" s="135"/>
      <c r="N400" s="135"/>
      <c r="O400" s="135"/>
      <c r="P400" s="135"/>
      <c r="Q400" s="135"/>
      <c r="R400" s="135"/>
    </row>
    <row r="401" spans="1:18" ht="15" customHeight="1">
      <c r="A401" s="274" t="s">
        <v>66</v>
      </c>
      <c r="B401" s="274"/>
      <c r="C401" s="277" t="s">
        <v>100</v>
      </c>
      <c r="D401" s="233" t="s">
        <v>29</v>
      </c>
      <c r="E401" s="65">
        <v>2.379</v>
      </c>
      <c r="F401" s="1">
        <v>0.337</v>
      </c>
      <c r="G401" s="126" t="str">
        <f>CONCATENATE(D401," - ",E401,", ")</f>
        <v>MS iron scrap - 2.379, </v>
      </c>
      <c r="H401" s="273"/>
      <c r="I401" s="135" t="str">
        <f ca="1">IF(J400&gt;=3,(MID(I400,2,1)&amp;MID(I400,4,3)-K400),CELL("address",Z401))</f>
        <v>G402</v>
      </c>
      <c r="J401" s="135" t="str">
        <f ca="1">IF(J400&gt;=4,(MID(I401,1,1)&amp;MID(I401,2,3)+1),CELL("address",AA401))</f>
        <v>G403</v>
      </c>
      <c r="K401" s="135" t="str">
        <f ca="1">IF(J400&gt;=5,(MID(J401,1,1)&amp;MID(J401,2,3)+1),CELL("address",AB401))</f>
        <v>G404</v>
      </c>
      <c r="L401" s="135" t="str">
        <f ca="1">IF(J400&gt;=6,(MID(K401,1,1)&amp;MID(K401,2,3)+1),CELL("address",AC401))</f>
        <v>$AC$401</v>
      </c>
      <c r="M401" s="135" t="str">
        <f ca="1">IF(J400&gt;=7,(MID(L401,1,1)&amp;MID(L401,2,3)+1),CELL("address",AD401))</f>
        <v>$AD$401</v>
      </c>
      <c r="N401" s="135" t="str">
        <f ca="1">IF(J400&gt;=8,(MID(M401,1,1)&amp;MID(M401,2,3)+1),CELL("address",AE401))</f>
        <v>$AE$401</v>
      </c>
      <c r="O401" s="135" t="str">
        <f ca="1">IF(J400&gt;=9,(MID(N401,1,1)&amp;MID(N401,2,3)+1),CELL("address",AF401))</f>
        <v>$AF$401</v>
      </c>
      <c r="P401" s="135" t="str">
        <f ca="1">IF(J400&gt;=10,(MID(O401,1,1)&amp;MID(O401,2,3)+1),CELL("address",AG401))</f>
        <v>$AG$401</v>
      </c>
      <c r="Q401" s="135" t="str">
        <f ca="1">IF(J400&gt;=11,(MID(P401,1,1)&amp;MID(P401,2,3)+1),CELL("address",AH401))</f>
        <v>$AH$401</v>
      </c>
      <c r="R401" s="135" t="str">
        <f ca="1">IF(J400&gt;=12,(MID(Q401,1,1)&amp;MID(Q401,2,3)+1),CELL("address",AI401))</f>
        <v>$AI$401</v>
      </c>
    </row>
    <row r="402" spans="1:18" ht="15" customHeight="1">
      <c r="A402" s="274"/>
      <c r="B402" s="274"/>
      <c r="C402" s="277"/>
      <c r="D402" s="231" t="s">
        <v>65</v>
      </c>
      <c r="E402" s="73">
        <v>0.32</v>
      </c>
      <c r="F402" s="1" t="s">
        <v>408</v>
      </c>
      <c r="G402" s="126" t="str">
        <f>CONCATENATE(D402," - ",E402,", ")</f>
        <v>Teen Patra scrap - 0.32, </v>
      </c>
      <c r="H402" s="146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</row>
    <row r="403" spans="1:18" ht="15" customHeight="1">
      <c r="A403" s="274"/>
      <c r="B403" s="274"/>
      <c r="C403" s="277"/>
      <c r="D403" s="231" t="s">
        <v>206</v>
      </c>
      <c r="E403" s="73">
        <v>0.046</v>
      </c>
      <c r="F403" s="1" t="s">
        <v>408</v>
      </c>
      <c r="G403" s="126" t="str">
        <f>CONCATENATE(D403," - ",E403,", ")</f>
        <v>G.I. Scrap - 0.046, </v>
      </c>
      <c r="H403" s="146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</row>
    <row r="404" spans="1:8" ht="15" customHeight="1">
      <c r="A404" s="45"/>
      <c r="B404" s="47"/>
      <c r="C404" s="54"/>
      <c r="D404" s="44"/>
      <c r="E404" s="73"/>
      <c r="G404" s="126"/>
      <c r="H404" s="139"/>
    </row>
    <row r="405" spans="1:8" ht="15" customHeight="1">
      <c r="A405" s="60"/>
      <c r="B405" s="61"/>
      <c r="C405" s="61"/>
      <c r="D405" s="64"/>
      <c r="E405" s="59">
        <f>SUM(E407:E411)</f>
        <v>10.367</v>
      </c>
      <c r="G405" s="126"/>
      <c r="H405" s="139"/>
    </row>
    <row r="406" spans="1:18" ht="15" customHeight="1">
      <c r="A406" s="274" t="s">
        <v>5</v>
      </c>
      <c r="B406" s="274"/>
      <c r="C406" s="46" t="s">
        <v>17</v>
      </c>
      <c r="D406" s="256" t="s">
        <v>18</v>
      </c>
      <c r="E406" s="46" t="s">
        <v>7</v>
      </c>
      <c r="G406" s="128" t="str">
        <f>CONCATENATE("Misc. Iron Scrap, Lying at ",C407,". Quantity in MT - ")</f>
        <v>Misc. Iron Scrap, Lying at OL Ropar. Quantity in MT - </v>
      </c>
      <c r="H406" s="273" t="str">
        <f ca="1">CONCATENATE(G406,G407,(INDIRECT(I407)),(INDIRECT(J407)),(INDIRECT(K407)),(INDIRECT(L407)),(INDIRECT(M407)),(INDIRECT(N407)),(INDIRECT(O407)),(INDIRECT(P407)),(INDIRECT(Q407)),(INDIRECT(R407)),".")</f>
        <v>Misc. Iron Scrap, Lying at OL Ropar. Quantity in MT - Transformer body scrap - 1.57, MS iron scrap - 8.319, G.I. Scrap - 0.28, GI wire /GSL scrap - 0.012, MS Rail scrap - 0.186, .</v>
      </c>
      <c r="I406" s="135" t="str">
        <f aca="true" ca="1" t="array" ref="I406">CELL("address",INDEX(G406:G421,MATCH(TRUE,ISBLANK(G406:G421),0)))</f>
        <v>$G$412</v>
      </c>
      <c r="J406" s="135">
        <f aca="true" t="array" ref="J406">MATCH(TRUE,ISBLANK(G406:G421),0)</f>
        <v>7</v>
      </c>
      <c r="K406" s="135">
        <f>J406-3</f>
        <v>4</v>
      </c>
      <c r="L406" s="135"/>
      <c r="M406" s="135"/>
      <c r="N406" s="135"/>
      <c r="O406" s="135"/>
      <c r="P406" s="135"/>
      <c r="Q406" s="135"/>
      <c r="R406" s="135"/>
    </row>
    <row r="407" spans="1:18" ht="15" customHeight="1">
      <c r="A407" s="274" t="s">
        <v>67</v>
      </c>
      <c r="B407" s="274"/>
      <c r="C407" s="277" t="s">
        <v>99</v>
      </c>
      <c r="D407" s="231" t="s">
        <v>61</v>
      </c>
      <c r="E407" s="261">
        <v>1.57</v>
      </c>
      <c r="F407" s="1">
        <v>1.393</v>
      </c>
      <c r="G407" s="126" t="str">
        <f>CONCATENATE(D407," - ",E407,", ")</f>
        <v>Transformer body scrap - 1.57, </v>
      </c>
      <c r="H407" s="273"/>
      <c r="I407" s="135" t="str">
        <f ca="1">IF(J406&gt;=3,(MID(I406,2,1)&amp;MID(I406,4,3)-K406),CELL("address",Z407))</f>
        <v>G408</v>
      </c>
      <c r="J407" s="135" t="str">
        <f ca="1">IF(J406&gt;=4,(MID(I407,1,1)&amp;MID(I407,2,3)+1),CELL("address",AA407))</f>
        <v>G409</v>
      </c>
      <c r="K407" s="135" t="str">
        <f ca="1">IF(J406&gt;=5,(MID(J407,1,1)&amp;MID(J407,2,3)+1),CELL("address",AB407))</f>
        <v>G410</v>
      </c>
      <c r="L407" s="135" t="str">
        <f ca="1">IF(J406&gt;=6,(MID(K407,1,1)&amp;MID(K407,2,3)+1),CELL("address",AC407))</f>
        <v>G411</v>
      </c>
      <c r="M407" s="135" t="str">
        <f ca="1">IF(J406&gt;=7,(MID(L407,1,1)&amp;MID(L407,2,3)+1),CELL("address",AD407))</f>
        <v>G412</v>
      </c>
      <c r="N407" s="135" t="str">
        <f ca="1">IF(J406&gt;=8,(MID(M407,1,1)&amp;MID(M407,2,3)+1),CELL("address",AE407))</f>
        <v>$AE$407</v>
      </c>
      <c r="O407" s="135" t="str">
        <f ca="1">IF(J406&gt;=9,(MID(N407,1,1)&amp;MID(N407,2,3)+1),CELL("address",AF407))</f>
        <v>$AF$407</v>
      </c>
      <c r="P407" s="135" t="str">
        <f ca="1">IF(J406&gt;=10,(MID(O407,1,1)&amp;MID(O407,2,3)+1),CELL("address",AG407))</f>
        <v>$AG$407</v>
      </c>
      <c r="Q407" s="135" t="str">
        <f ca="1">IF(J406&gt;=11,(MID(P407,1,1)&amp;MID(P407,2,3)+1),CELL("address",AH407))</f>
        <v>$AH$407</v>
      </c>
      <c r="R407" s="135" t="str">
        <f ca="1">IF(J406&gt;=12,(MID(Q407,1,1)&amp;MID(Q407,2,3)+1),CELL("address",AI407))</f>
        <v>$AI$407</v>
      </c>
    </row>
    <row r="408" spans="1:8" ht="15" customHeight="1">
      <c r="A408" s="274"/>
      <c r="B408" s="274"/>
      <c r="C408" s="277"/>
      <c r="D408" s="233" t="s">
        <v>29</v>
      </c>
      <c r="E408" s="73">
        <v>8.319</v>
      </c>
      <c r="F408" s="1">
        <v>6.946</v>
      </c>
      <c r="G408" s="126" t="str">
        <f>CONCATENATE(D408," - ",E408,", ")</f>
        <v>MS iron scrap - 8.319, </v>
      </c>
      <c r="H408" s="139"/>
    </row>
    <row r="409" spans="1:8" ht="15" customHeight="1">
      <c r="A409" s="274"/>
      <c r="B409" s="274"/>
      <c r="C409" s="277"/>
      <c r="D409" s="231" t="s">
        <v>206</v>
      </c>
      <c r="E409" s="73">
        <v>0.28</v>
      </c>
      <c r="F409" s="1">
        <v>0.117</v>
      </c>
      <c r="G409" s="126" t="str">
        <f>CONCATENATE(D409," - ",E409,", ")</f>
        <v>G.I. Scrap - 0.28, </v>
      </c>
      <c r="H409" s="139"/>
    </row>
    <row r="410" spans="1:8" ht="15" customHeight="1">
      <c r="A410" s="274"/>
      <c r="B410" s="274"/>
      <c r="C410" s="277"/>
      <c r="D410" s="48" t="s">
        <v>232</v>
      </c>
      <c r="E410" s="71">
        <v>0.012</v>
      </c>
      <c r="G410" s="126" t="str">
        <f>CONCATENATE(D410," - ",E410,", ")</f>
        <v>GI wire /GSL scrap - 0.012, </v>
      </c>
      <c r="H410" s="139"/>
    </row>
    <row r="411" spans="1:8" ht="15" customHeight="1">
      <c r="A411" s="274"/>
      <c r="B411" s="274"/>
      <c r="C411" s="277"/>
      <c r="D411" s="46" t="s">
        <v>62</v>
      </c>
      <c r="E411" s="71">
        <v>0.186</v>
      </c>
      <c r="G411" s="126" t="str">
        <f>CONCATENATE(D411," - ",E411,", ")</f>
        <v>MS Rail scrap - 0.186, </v>
      </c>
      <c r="H411" s="139"/>
    </row>
    <row r="412" spans="1:8" ht="15" customHeight="1">
      <c r="A412" s="97"/>
      <c r="B412" s="98"/>
      <c r="C412" s="99"/>
      <c r="D412" s="44"/>
      <c r="E412" s="73"/>
      <c r="G412" s="126"/>
      <c r="H412" s="139"/>
    </row>
    <row r="413" spans="1:8" ht="15" customHeight="1">
      <c r="A413" s="279"/>
      <c r="B413" s="280"/>
      <c r="C413" s="46"/>
      <c r="D413" s="64"/>
      <c r="E413" s="70">
        <f>SUM(E415:E416)</f>
        <v>2.1270000000000002</v>
      </c>
      <c r="G413" s="126"/>
      <c r="H413" s="139"/>
    </row>
    <row r="414" spans="1:18" ht="15" customHeight="1">
      <c r="A414" s="274" t="s">
        <v>5</v>
      </c>
      <c r="B414" s="274"/>
      <c r="C414" s="46" t="s">
        <v>17</v>
      </c>
      <c r="D414" s="256" t="s">
        <v>18</v>
      </c>
      <c r="E414" s="45" t="s">
        <v>7</v>
      </c>
      <c r="G414" s="128" t="str">
        <f>CONCATENATE("Misc. Iron Scrap, Lying at ",C415,". Quantity in MT - ")</f>
        <v>Misc. Iron Scrap, Lying at OL Fazilka. Quantity in MT - </v>
      </c>
      <c r="H414" s="273" t="str">
        <f ca="1">CONCATENATE(G414,G415,(INDIRECT(I415)),(INDIRECT(J415)),(INDIRECT(K415)),(INDIRECT(L415)),(INDIRECT(M415)),(INDIRECT(N415)),(INDIRECT(O415)),(INDIRECT(P415)),(INDIRECT(Q415)),(INDIRECT(R415)),".")</f>
        <v>Misc. Iron Scrap, Lying at OL Fazilka. Quantity in MT - MS iron scrap - 1.957, Teen Patra scrap - 0.17, .</v>
      </c>
      <c r="I414" s="135" t="str">
        <f aca="true" ca="1" t="array" ref="I414">CELL("address",INDEX(G414:G422,MATCH(TRUE,ISBLANK(G414:G422),0)))</f>
        <v>$G$417</v>
      </c>
      <c r="J414" s="135">
        <f aca="true" t="array" ref="J414">MATCH(TRUE,ISBLANK(G414:G422),0)</f>
        <v>4</v>
      </c>
      <c r="K414" s="135">
        <f>J414-3</f>
        <v>1</v>
      </c>
      <c r="L414" s="135"/>
      <c r="M414" s="135"/>
      <c r="N414" s="135"/>
      <c r="O414" s="135"/>
      <c r="P414" s="135"/>
      <c r="Q414" s="135"/>
      <c r="R414" s="135"/>
    </row>
    <row r="415" spans="1:18" ht="15" customHeight="1">
      <c r="A415" s="281" t="s">
        <v>68</v>
      </c>
      <c r="B415" s="282"/>
      <c r="C415" s="287" t="s">
        <v>114</v>
      </c>
      <c r="D415" s="233" t="s">
        <v>29</v>
      </c>
      <c r="E415" s="73">
        <v>1.957</v>
      </c>
      <c r="F415" s="1">
        <v>1.61</v>
      </c>
      <c r="G415" s="126" t="str">
        <f>CONCATENATE(D415," - ",E415,", ")</f>
        <v>MS iron scrap - 1.957, </v>
      </c>
      <c r="H415" s="273"/>
      <c r="I415" s="135" t="str">
        <f ca="1">IF(J414&gt;=3,(MID(I414,2,1)&amp;MID(I414,4,3)-K414),CELL("address",Z415))</f>
        <v>G416</v>
      </c>
      <c r="J415" s="135" t="str">
        <f ca="1">IF(J414&gt;=4,(MID(I415,1,1)&amp;MID(I415,2,3)+1),CELL("address",AA415))</f>
        <v>G417</v>
      </c>
      <c r="K415" s="135" t="str">
        <f ca="1">IF(J414&gt;=5,(MID(J415,1,1)&amp;MID(J415,2,3)+1),CELL("address",AB415))</f>
        <v>$AB$415</v>
      </c>
      <c r="L415" s="135" t="str">
        <f ca="1">IF(J414&gt;=6,(MID(K415,1,1)&amp;MID(K415,2,3)+1),CELL("address",AC415))</f>
        <v>$AC$415</v>
      </c>
      <c r="M415" s="135" t="str">
        <f ca="1">IF(J414&gt;=7,(MID(L415,1,1)&amp;MID(L415,2,3)+1),CELL("address",AD415))</f>
        <v>$AD$415</v>
      </c>
      <c r="N415" s="135" t="str">
        <f ca="1">IF(J414&gt;=8,(MID(M415,1,1)&amp;MID(M415,2,3)+1),CELL("address",AE415))</f>
        <v>$AE$415</v>
      </c>
      <c r="O415" s="135" t="str">
        <f ca="1">IF(J414&gt;=9,(MID(N415,1,1)&amp;MID(N415,2,3)+1),CELL("address",AF415))</f>
        <v>$AF$415</v>
      </c>
      <c r="P415" s="135" t="str">
        <f ca="1">IF(J414&gt;=10,(MID(O415,1,1)&amp;MID(O415,2,3)+1),CELL("address",AG415))</f>
        <v>$AG$415</v>
      </c>
      <c r="Q415" s="135" t="str">
        <f ca="1">IF(J414&gt;=11,(MID(P415,1,1)&amp;MID(P415,2,3)+1),CELL("address",AH415))</f>
        <v>$AH$415</v>
      </c>
      <c r="R415" s="135" t="str">
        <f ca="1">IF(J414&gt;=12,(MID(Q415,1,1)&amp;MID(Q415,2,3)+1),CELL("address",AI415))</f>
        <v>$AI$415</v>
      </c>
    </row>
    <row r="416" spans="1:24" ht="15" customHeight="1">
      <c r="A416" s="283"/>
      <c r="B416" s="284"/>
      <c r="C416" s="288"/>
      <c r="D416" s="105" t="s">
        <v>65</v>
      </c>
      <c r="E416" s="71">
        <v>0.17</v>
      </c>
      <c r="G416" s="126" t="str">
        <f>CONCATENATE(D416," - ",E416,", ")</f>
        <v>Teen Patra scrap - 0.17, </v>
      </c>
      <c r="H416" s="146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T416" s="360"/>
      <c r="U416" s="360"/>
      <c r="V416" s="360"/>
      <c r="W416" s="360"/>
      <c r="X416" s="360"/>
    </row>
    <row r="417" spans="1:24" ht="15" customHeight="1">
      <c r="A417" s="293"/>
      <c r="B417" s="294"/>
      <c r="C417" s="256"/>
      <c r="D417" s="46"/>
      <c r="E417" s="71"/>
      <c r="G417" s="126"/>
      <c r="H417" s="140"/>
      <c r="T417" s="361"/>
      <c r="U417" s="361"/>
      <c r="V417" s="361"/>
      <c r="W417" s="361"/>
      <c r="X417" s="361"/>
    </row>
    <row r="418" spans="1:8" ht="15" customHeight="1">
      <c r="A418" s="279"/>
      <c r="B418" s="280"/>
      <c r="C418" s="46"/>
      <c r="D418" s="64"/>
      <c r="E418" s="63">
        <f>SUM(E420:E420)</f>
        <v>100</v>
      </c>
      <c r="G418" s="126"/>
      <c r="H418" s="139"/>
    </row>
    <row r="419" spans="1:18" ht="15" customHeight="1">
      <c r="A419" s="274" t="s">
        <v>5</v>
      </c>
      <c r="B419" s="274"/>
      <c r="C419" s="46" t="s">
        <v>17</v>
      </c>
      <c r="D419" s="256" t="s">
        <v>18</v>
      </c>
      <c r="E419" s="46" t="s">
        <v>7</v>
      </c>
      <c r="G419" s="128" t="str">
        <f>CONCATENATE("Misc. Iron Scrap, Lying at ",C420,". Quantity in MT - ")</f>
        <v>Misc. Iron Scrap, Lying at S &amp; T Store Bathinda. Quantity in MT - </v>
      </c>
      <c r="H419" s="273" t="str">
        <f ca="1">CONCATENATE(G419,G420,(INDIRECT(I420)),(INDIRECT(J420)),(INDIRECT(K420)),(INDIRECT(L420)),(INDIRECT(M420)),(INDIRECT(N420)),(INDIRECT(O420)),(INDIRECT(P420)),(INDIRECT(Q420)),(INDIRECT(R420)),".")</f>
        <v>Misc. Iron Scrap, Lying at S &amp; T Store Bathinda. Quantity in MT - MS Rail scrap - 100, .</v>
      </c>
      <c r="I419" s="135" t="str">
        <f aca="true" ca="1" t="array" ref="I419">CELL("address",INDEX(G419:G426,MATCH(TRUE,ISBLANK(G419:G426),0)))</f>
        <v>$G$421</v>
      </c>
      <c r="J419" s="135">
        <f aca="true" t="array" ref="J419">MATCH(TRUE,ISBLANK(G419:G426),0)</f>
        <v>3</v>
      </c>
      <c r="K419" s="135">
        <f>J419-3</f>
        <v>0</v>
      </c>
      <c r="L419" s="135"/>
      <c r="M419" s="135"/>
      <c r="N419" s="135"/>
      <c r="O419" s="135"/>
      <c r="P419" s="135"/>
      <c r="Q419" s="135"/>
      <c r="R419" s="135"/>
    </row>
    <row r="420" spans="1:18" ht="15" customHeight="1">
      <c r="A420" s="274" t="s">
        <v>69</v>
      </c>
      <c r="B420" s="274"/>
      <c r="C420" s="256" t="s">
        <v>58</v>
      </c>
      <c r="D420" s="46" t="s">
        <v>62</v>
      </c>
      <c r="E420" s="52">
        <v>100</v>
      </c>
      <c r="G420" s="126" t="str">
        <f>CONCATENATE(D420," - ",E420,", ")</f>
        <v>MS Rail scrap - 100, </v>
      </c>
      <c r="H420" s="273"/>
      <c r="I420" s="135" t="str">
        <f ca="1">IF(J419&gt;=3,(MID(I419,2,1)&amp;MID(I419,4,3)-K419),CELL("address",Z420))</f>
        <v>G421</v>
      </c>
      <c r="J420" s="135" t="str">
        <f ca="1">IF(J419&gt;=4,(MID(I420,1,1)&amp;MID(I420,2,3)+1),CELL("address",AA420))</f>
        <v>$AA$420</v>
      </c>
      <c r="K420" s="135" t="str">
        <f ca="1">IF(J419&gt;=5,(MID(J420,1,1)&amp;MID(J420,2,3)+1),CELL("address",AB420))</f>
        <v>$AB$420</v>
      </c>
      <c r="L420" s="135" t="str">
        <f ca="1">IF(J419&gt;=6,(MID(K420,1,1)&amp;MID(K420,2,3)+1),CELL("address",AC420))</f>
        <v>$AC$420</v>
      </c>
      <c r="M420" s="135" t="str">
        <f ca="1">IF(J419&gt;=7,(MID(L420,1,1)&amp;MID(L420,2,3)+1),CELL("address",AD420))</f>
        <v>$AD$420</v>
      </c>
      <c r="N420" s="135" t="str">
        <f ca="1">IF(J419&gt;=8,(MID(M420,1,1)&amp;MID(M420,2,3)+1),CELL("address",AE420))</f>
        <v>$AE$420</v>
      </c>
      <c r="O420" s="135" t="str">
        <f ca="1">IF(J419&gt;=9,(MID(N420,1,1)&amp;MID(N420,2,3)+1),CELL("address",AF420))</f>
        <v>$AF$420</v>
      </c>
      <c r="P420" s="135" t="str">
        <f ca="1">IF(J419&gt;=10,(MID(O420,1,1)&amp;MID(O420,2,3)+1),CELL("address",AG420))</f>
        <v>$AG$420</v>
      </c>
      <c r="Q420" s="135" t="str">
        <f ca="1">IF(J419&gt;=11,(MID(P420,1,1)&amp;MID(P420,2,3)+1),CELL("address",AH420))</f>
        <v>$AH$420</v>
      </c>
      <c r="R420" s="135" t="str">
        <f ca="1">IF(J419&gt;=12,(MID(Q420,1,1)&amp;MID(Q420,2,3)+1),CELL("address",AI420))</f>
        <v>$AI$420</v>
      </c>
    </row>
    <row r="421" spans="1:8" ht="15" customHeight="1">
      <c r="A421" s="45"/>
      <c r="B421" s="47"/>
      <c r="C421" s="54"/>
      <c r="D421" s="47"/>
      <c r="E421" s="71"/>
      <c r="G421" s="126"/>
      <c r="H421" s="140"/>
    </row>
    <row r="422" spans="1:8" ht="15" customHeight="1">
      <c r="A422" s="60"/>
      <c r="B422" s="61"/>
      <c r="C422" s="61"/>
      <c r="D422" s="64"/>
      <c r="E422" s="59">
        <f>SUM(E424:E428)</f>
        <v>6.585</v>
      </c>
      <c r="G422" s="126"/>
      <c r="H422" s="139"/>
    </row>
    <row r="423" spans="1:18" ht="15" customHeight="1">
      <c r="A423" s="274" t="s">
        <v>5</v>
      </c>
      <c r="B423" s="274"/>
      <c r="C423" s="46" t="s">
        <v>17</v>
      </c>
      <c r="D423" s="256" t="s">
        <v>18</v>
      </c>
      <c r="E423" s="46" t="s">
        <v>7</v>
      </c>
      <c r="G423" s="128" t="str">
        <f>CONCATENATE("Misc. Iron Scrap, Lying at ",C424,". Quantity in MT - ")</f>
        <v>Misc. Iron Scrap, Lying at CS Kotkapura. Quantity in MT - </v>
      </c>
      <c r="H423" s="273" t="str">
        <f ca="1">CONCATENATE(G423,G424,(INDIRECT(I424)),(INDIRECT(J424)),(INDIRECT(K424)),(INDIRECT(L424)),(INDIRECT(M424)),(INDIRECT(N424)),(INDIRECT(O424)),(INDIRECT(P424)),(INDIRECT(Q424)),(INDIRECT(R424)),".")</f>
        <v>Misc. Iron Scrap, Lying at CS Kotkapura. Quantity in MT - MS iron scrap - 3.223, Transformer body scrap - 2.479, Teen Patra scrap - 0.825, G.I. Scrap - 0.038, M.S. Nuts &amp; Bolts Scrap - 0.02, .</v>
      </c>
      <c r="I423" s="135" t="str">
        <f aca="true" ca="1" t="array" ref="I423">CELL("address",INDEX(G423:G431,MATCH(TRUE,ISBLANK(G423:G431),0)))</f>
        <v>$G$429</v>
      </c>
      <c r="J423" s="135">
        <f aca="true" t="array" ref="J423">MATCH(TRUE,ISBLANK(G423:G431),0)</f>
        <v>7</v>
      </c>
      <c r="K423" s="135">
        <f>J423-3</f>
        <v>4</v>
      </c>
      <c r="L423" s="135"/>
      <c r="M423" s="135"/>
      <c r="N423" s="135"/>
      <c r="O423" s="135"/>
      <c r="P423" s="135"/>
      <c r="Q423" s="135"/>
      <c r="R423" s="135"/>
    </row>
    <row r="424" spans="1:18" ht="15" customHeight="1">
      <c r="A424" s="274" t="s">
        <v>183</v>
      </c>
      <c r="B424" s="274"/>
      <c r="C424" s="277" t="s">
        <v>43</v>
      </c>
      <c r="D424" s="48" t="s">
        <v>29</v>
      </c>
      <c r="E424" s="69">
        <v>3.223</v>
      </c>
      <c r="G424" s="126" t="str">
        <f>CONCATENATE(D424," - ",E424,", ")</f>
        <v>MS iron scrap - 3.223, </v>
      </c>
      <c r="H424" s="273"/>
      <c r="I424" s="135" t="str">
        <f ca="1">IF(J423&gt;=3,(MID(I423,2,1)&amp;MID(I423,4,3)-K423),CELL("address",Z424))</f>
        <v>G425</v>
      </c>
      <c r="J424" s="135" t="str">
        <f ca="1">IF(J423&gt;=4,(MID(I424,1,1)&amp;MID(I424,2,3)+1),CELL("address",AA424))</f>
        <v>G426</v>
      </c>
      <c r="K424" s="135" t="str">
        <f ca="1">IF(J423&gt;=5,(MID(J424,1,1)&amp;MID(J424,2,3)+1),CELL("address",AB424))</f>
        <v>G427</v>
      </c>
      <c r="L424" s="135" t="str">
        <f ca="1">IF(J423&gt;=6,(MID(K424,1,1)&amp;MID(K424,2,3)+1),CELL("address",AC424))</f>
        <v>G428</v>
      </c>
      <c r="M424" s="135" t="str">
        <f ca="1">IF(J423&gt;=7,(MID(L424,1,1)&amp;MID(L424,2,3)+1),CELL("address",AD424))</f>
        <v>G429</v>
      </c>
      <c r="N424" s="135" t="str">
        <f ca="1">IF(J423&gt;=8,(MID(M424,1,1)&amp;MID(M424,2,3)+1),CELL("address",AE424))</f>
        <v>$AE$424</v>
      </c>
      <c r="O424" s="135" t="str">
        <f ca="1">IF(J423&gt;=9,(MID(N424,1,1)&amp;MID(N424,2,3)+1),CELL("address",AF424))</f>
        <v>$AF$424</v>
      </c>
      <c r="P424" s="135" t="str">
        <f ca="1">IF(J423&gt;=10,(MID(O424,1,1)&amp;MID(O424,2,3)+1),CELL("address",AG424))</f>
        <v>$AG$424</v>
      </c>
      <c r="Q424" s="135" t="str">
        <f ca="1">IF(J423&gt;=11,(MID(P424,1,1)&amp;MID(P424,2,3)+1),CELL("address",AH424))</f>
        <v>$AH$424</v>
      </c>
      <c r="R424" s="135" t="str">
        <f ca="1">IF(J423&gt;=12,(MID(Q424,1,1)&amp;MID(Q424,2,3)+1),CELL("address",AI424))</f>
        <v>$AI$424</v>
      </c>
    </row>
    <row r="425" spans="1:8" ht="15" customHeight="1">
      <c r="A425" s="274"/>
      <c r="B425" s="274"/>
      <c r="C425" s="277"/>
      <c r="D425" s="105" t="s">
        <v>61</v>
      </c>
      <c r="E425" s="69">
        <v>2.479</v>
      </c>
      <c r="G425" s="126" t="str">
        <f>CONCATENATE(D425," - ",E425,", ")</f>
        <v>Transformer body scrap - 2.479, </v>
      </c>
      <c r="H425" s="139"/>
    </row>
    <row r="426" spans="1:8" ht="15" customHeight="1">
      <c r="A426" s="274"/>
      <c r="B426" s="274"/>
      <c r="C426" s="277"/>
      <c r="D426" s="105" t="s">
        <v>65</v>
      </c>
      <c r="E426" s="69">
        <v>0.825</v>
      </c>
      <c r="G426" s="126" t="str">
        <f>CONCATENATE(D426," - ",E426,", ")</f>
        <v>Teen Patra scrap - 0.825, </v>
      </c>
      <c r="H426" s="139"/>
    </row>
    <row r="427" spans="1:8" ht="15" customHeight="1">
      <c r="A427" s="274"/>
      <c r="B427" s="274"/>
      <c r="C427" s="277"/>
      <c r="D427" s="105" t="s">
        <v>206</v>
      </c>
      <c r="E427" s="71">
        <v>0.038</v>
      </c>
      <c r="G427" s="126" t="str">
        <f>CONCATENATE(D427," - ",E427,", ")</f>
        <v>G.I. Scrap - 0.038, </v>
      </c>
      <c r="H427" s="139"/>
    </row>
    <row r="428" spans="1:8" ht="15" customHeight="1">
      <c r="A428" s="274"/>
      <c r="B428" s="274"/>
      <c r="C428" s="277"/>
      <c r="D428" s="105" t="s">
        <v>207</v>
      </c>
      <c r="E428" s="71">
        <v>0.02</v>
      </c>
      <c r="G428" s="126" t="str">
        <f>CONCATENATE(D428," - ",E428,", ")</f>
        <v>M.S. Nuts &amp; Bolts Scrap - 0.02, </v>
      </c>
      <c r="H428" s="139"/>
    </row>
    <row r="429" spans="1:8" ht="15" customHeight="1">
      <c r="A429" s="45"/>
      <c r="B429" s="47"/>
      <c r="C429" s="54"/>
      <c r="D429" s="265"/>
      <c r="E429" s="73"/>
      <c r="G429" s="126"/>
      <c r="H429" s="139"/>
    </row>
    <row r="430" spans="1:8" ht="15" customHeight="1">
      <c r="A430" s="60"/>
      <c r="B430" s="61"/>
      <c r="C430" s="61"/>
      <c r="D430" s="64"/>
      <c r="E430" s="59">
        <f>SUM(E432:E436)</f>
        <v>9.829</v>
      </c>
      <c r="G430" s="126"/>
      <c r="H430" s="139"/>
    </row>
    <row r="431" spans="1:18" ht="15" customHeight="1">
      <c r="A431" s="274" t="s">
        <v>5</v>
      </c>
      <c r="B431" s="274"/>
      <c r="C431" s="46" t="s">
        <v>17</v>
      </c>
      <c r="D431" s="256" t="s">
        <v>18</v>
      </c>
      <c r="E431" s="46" t="s">
        <v>7</v>
      </c>
      <c r="G431" s="128" t="str">
        <f>CONCATENATE("Misc. Iron Scrap, Lying at ",C432,". Quantity in MT - ")</f>
        <v>Misc. Iron Scrap, Lying at CS Mohali. Quantity in MT - </v>
      </c>
      <c r="H431" s="273" t="str">
        <f ca="1">CONCATENATE(G431,G432,(INDIRECT(I432)),(INDIRECT(J432)),(INDIRECT(K432)),(INDIRECT(L432)),(INDIRECT(M432)),(INDIRECT(N432)),(INDIRECT(O432)),(INDIRECT(P432)),(INDIRECT(Q432)),(INDIRECT(R432)),".")</f>
        <v>Misc. Iron Scrap, Lying at CS Mohali. Quantity in MT - MS iron scrap - 7.587, Transformer body scrap - 1.617, G.I. scrap - 0.362, MS Rail scrap - 0.08, Teen Patra scrap - 0.183, .</v>
      </c>
      <c r="I431" s="135" t="str">
        <f aca="true" ca="1" t="array" ref="I431">CELL("address",INDEX(G431:G445,MATCH(TRUE,ISBLANK(G431:G445),0)))</f>
        <v>$G$437</v>
      </c>
      <c r="J431" s="135">
        <f aca="true" t="array" ref="J431">MATCH(TRUE,ISBLANK(G431:G445),0)</f>
        <v>7</v>
      </c>
      <c r="K431" s="135">
        <f>J431-3</f>
        <v>4</v>
      </c>
      <c r="L431" s="135"/>
      <c r="M431" s="135"/>
      <c r="N431" s="135"/>
      <c r="O431" s="135"/>
      <c r="P431" s="135"/>
      <c r="Q431" s="135"/>
      <c r="R431" s="135"/>
    </row>
    <row r="432" spans="1:18" ht="15" customHeight="1">
      <c r="A432" s="274" t="s">
        <v>121</v>
      </c>
      <c r="B432" s="274"/>
      <c r="C432" s="277" t="s">
        <v>63</v>
      </c>
      <c r="D432" s="233" t="s">
        <v>29</v>
      </c>
      <c r="E432" s="261">
        <v>7.587</v>
      </c>
      <c r="F432" s="1">
        <v>6.294</v>
      </c>
      <c r="G432" s="126" t="str">
        <f>CONCATENATE(D432," - ",E432,", ")</f>
        <v>MS iron scrap - 7.587, </v>
      </c>
      <c r="H432" s="273"/>
      <c r="I432" s="135" t="str">
        <f ca="1">IF(J431&gt;=3,(MID(I431,2,1)&amp;MID(I431,4,3)-K431),CELL("address",Z432))</f>
        <v>G433</v>
      </c>
      <c r="J432" s="135" t="str">
        <f ca="1">IF(J431&gt;=4,(MID(I432,1,1)&amp;MID(I432,2,3)+1),CELL("address",AA432))</f>
        <v>G434</v>
      </c>
      <c r="K432" s="135" t="str">
        <f ca="1">IF(J431&gt;=5,(MID(J432,1,1)&amp;MID(J432,2,3)+1),CELL("address",AB432))</f>
        <v>G435</v>
      </c>
      <c r="L432" s="135" t="str">
        <f ca="1">IF(J431&gt;=6,(MID(K432,1,1)&amp;MID(K432,2,3)+1),CELL("address",AC432))</f>
        <v>G436</v>
      </c>
      <c r="M432" s="135" t="str">
        <f ca="1">IF(J431&gt;=7,(MID(L432,1,1)&amp;MID(L432,2,3)+1),CELL("address",AD432))</f>
        <v>G437</v>
      </c>
      <c r="N432" s="135" t="str">
        <f ca="1">IF(J431&gt;=8,(MID(M432,1,1)&amp;MID(M432,2,3)+1),CELL("address",AE432))</f>
        <v>$AE$432</v>
      </c>
      <c r="O432" s="135" t="str">
        <f ca="1">IF(J431&gt;=9,(MID(N432,1,1)&amp;MID(N432,2,3)+1),CELL("address",AF432))</f>
        <v>$AF$432</v>
      </c>
      <c r="P432" s="135" t="str">
        <f ca="1">IF(J431&gt;=10,(MID(O432,1,1)&amp;MID(O432,2,3)+1),CELL("address",AG432))</f>
        <v>$AG$432</v>
      </c>
      <c r="Q432" s="135" t="str">
        <f ca="1">IF(J431&gt;=11,(MID(P432,1,1)&amp;MID(P432,2,3)+1),CELL("address",AH432))</f>
        <v>$AH$432</v>
      </c>
      <c r="R432" s="135" t="str">
        <f ca="1">IF(J431&gt;=12,(MID(Q432,1,1)&amp;MID(Q432,2,3)+1),CELL("address",AI432))</f>
        <v>$AI$432</v>
      </c>
    </row>
    <row r="433" spans="1:8" ht="15" customHeight="1">
      <c r="A433" s="274"/>
      <c r="B433" s="274"/>
      <c r="C433" s="277"/>
      <c r="D433" s="231" t="s">
        <v>61</v>
      </c>
      <c r="E433" s="261">
        <v>1.617</v>
      </c>
      <c r="F433" s="1">
        <v>1.364</v>
      </c>
      <c r="G433" s="126" t="str">
        <f>CONCATENATE(D433," - ",E433,", ")</f>
        <v>Transformer body scrap - 1.617, </v>
      </c>
      <c r="H433" s="139"/>
    </row>
    <row r="434" spans="1:8" ht="15" customHeight="1">
      <c r="A434" s="274"/>
      <c r="B434" s="274"/>
      <c r="C434" s="277"/>
      <c r="D434" s="231" t="s">
        <v>201</v>
      </c>
      <c r="E434" s="261">
        <v>0.362</v>
      </c>
      <c r="F434" s="1">
        <v>0.292</v>
      </c>
      <c r="G434" s="126" t="str">
        <f>CONCATENATE(D434," - ",E434,", ")</f>
        <v>G.I. scrap - 0.362, </v>
      </c>
      <c r="H434" s="139"/>
    </row>
    <row r="435" spans="1:8" ht="15" customHeight="1">
      <c r="A435" s="274"/>
      <c r="B435" s="274"/>
      <c r="C435" s="277"/>
      <c r="D435" s="48" t="s">
        <v>62</v>
      </c>
      <c r="E435" s="71">
        <v>0.08</v>
      </c>
      <c r="G435" s="126" t="str">
        <f>CONCATENATE(D435," - ",E435,", ")</f>
        <v>MS Rail scrap - 0.08, </v>
      </c>
      <c r="H435" s="139"/>
    </row>
    <row r="436" spans="1:8" ht="15" customHeight="1">
      <c r="A436" s="274"/>
      <c r="B436" s="274"/>
      <c r="C436" s="277"/>
      <c r="D436" s="51" t="s">
        <v>65</v>
      </c>
      <c r="E436" s="71">
        <v>0.183</v>
      </c>
      <c r="G436" s="126" t="str">
        <f>CONCATENATE(D436," - ",E436,", ")</f>
        <v>Teen Patra scrap - 0.183, </v>
      </c>
      <c r="H436" s="139"/>
    </row>
    <row r="437" spans="1:8" ht="15" customHeight="1">
      <c r="A437" s="45"/>
      <c r="B437" s="47"/>
      <c r="C437" s="54"/>
      <c r="D437" s="44"/>
      <c r="E437" s="73"/>
      <c r="G437" s="126"/>
      <c r="H437" s="139"/>
    </row>
    <row r="438" spans="1:8" ht="15" customHeight="1">
      <c r="A438" s="60"/>
      <c r="B438" s="61"/>
      <c r="C438" s="61"/>
      <c r="D438" s="64"/>
      <c r="E438" s="59">
        <f>SUM(E440:E444)</f>
        <v>10.432</v>
      </c>
      <c r="G438" s="126"/>
      <c r="H438" s="139"/>
    </row>
    <row r="439" spans="1:18" ht="15" customHeight="1">
      <c r="A439" s="274" t="s">
        <v>5</v>
      </c>
      <c r="B439" s="274"/>
      <c r="C439" s="46" t="s">
        <v>17</v>
      </c>
      <c r="D439" s="256" t="s">
        <v>18</v>
      </c>
      <c r="E439" s="46" t="s">
        <v>7</v>
      </c>
      <c r="G439" s="128" t="str">
        <f>CONCATENATE("Misc. Iron Scrap, Lying at ",C440,". Quantity in MT - ")</f>
        <v>Misc. Iron Scrap, Lying at CS Malout. Quantity in MT - </v>
      </c>
      <c r="H439" s="273" t="str">
        <f ca="1">CONCATENATE(G439,G440,(INDIRECT(I440)),(INDIRECT(J440)),(INDIRECT(K440)),(INDIRECT(L440)),(INDIRECT(M440)),(INDIRECT(N440)),(INDIRECT(O440)),(INDIRECT(P440)),(INDIRECT(Q440)),(INDIRECT(R440)),".")</f>
        <v>Misc. Iron Scrap, Lying at CS Malout. Quantity in MT - MS iron scrap - 9.925, MS Angle/ Channel Scrap - 0.01, G.I. scrap - 0.277, GI wire /GSL scrap - 0.205, MS Nuts &amp; bolts scrap - 0.015, .</v>
      </c>
      <c r="I439" s="135" t="str">
        <f aca="true" ca="1" t="array" ref="I439">CELL("address",INDEX(G439:G445,MATCH(TRUE,ISBLANK(G439:G445),0)))</f>
        <v>$G$445</v>
      </c>
      <c r="J439" s="135">
        <f aca="true" t="array" ref="J439">MATCH(TRUE,ISBLANK(G439:G445),0)</f>
        <v>7</v>
      </c>
      <c r="K439" s="135">
        <f>J439-3</f>
        <v>4</v>
      </c>
      <c r="L439" s="135"/>
      <c r="M439" s="135"/>
      <c r="N439" s="135"/>
      <c r="O439" s="135"/>
      <c r="P439" s="135"/>
      <c r="Q439" s="135"/>
      <c r="R439" s="135"/>
    </row>
    <row r="440" spans="1:18" ht="15" customHeight="1">
      <c r="A440" s="274" t="s">
        <v>208</v>
      </c>
      <c r="B440" s="274"/>
      <c r="C440" s="277" t="s">
        <v>96</v>
      </c>
      <c r="D440" s="257" t="s">
        <v>29</v>
      </c>
      <c r="E440" s="65">
        <v>9.925</v>
      </c>
      <c r="F440" s="1">
        <v>9.092</v>
      </c>
      <c r="G440" s="126" t="str">
        <f>CONCATENATE(D440," - ",E440,", ")</f>
        <v>MS iron scrap - 9.925, </v>
      </c>
      <c r="H440" s="273"/>
      <c r="I440" s="135" t="str">
        <f ca="1">IF(J439&gt;=3,(MID(I439,2,1)&amp;MID(I439,4,3)-K439),CELL("address",Z440))</f>
        <v>G441</v>
      </c>
      <c r="J440" s="135" t="str">
        <f ca="1">IF(J439&gt;=4,(MID(I440,1,1)&amp;MID(I440,2,3)+1),CELL("address",AA440))</f>
        <v>G442</v>
      </c>
      <c r="K440" s="135" t="str">
        <f ca="1">IF(J439&gt;=5,(MID(J440,1,1)&amp;MID(J440,2,3)+1),CELL("address",AB440))</f>
        <v>G443</v>
      </c>
      <c r="L440" s="135" t="str">
        <f ca="1">IF(J439&gt;=6,(MID(K440,1,1)&amp;MID(K440,2,3)+1),CELL("address",AC440))</f>
        <v>G444</v>
      </c>
      <c r="M440" s="135" t="str">
        <f ca="1">IF(J439&gt;=7,(MID(L440,1,1)&amp;MID(L440,2,3)+1),CELL("address",AD440))</f>
        <v>G445</v>
      </c>
      <c r="N440" s="135" t="str">
        <f ca="1">IF(J439&gt;=8,(MID(M440,1,1)&amp;MID(M440,2,3)+1),CELL("address",AE440))</f>
        <v>$AE$440</v>
      </c>
      <c r="O440" s="135" t="str">
        <f ca="1">IF(J439&gt;=9,(MID(N440,1,1)&amp;MID(N440,2,3)+1),CELL("address",AF440))</f>
        <v>$AF$440</v>
      </c>
      <c r="P440" s="135" t="str">
        <f ca="1">IF(J439&gt;=10,(MID(O440,1,1)&amp;MID(O440,2,3)+1),CELL("address",AG440))</f>
        <v>$AG$440</v>
      </c>
      <c r="Q440" s="135" t="str">
        <f ca="1">IF(J439&gt;=11,(MID(P440,1,1)&amp;MID(P440,2,3)+1),CELL("address",AH440))</f>
        <v>$AH$440</v>
      </c>
      <c r="R440" s="135" t="str">
        <f ca="1">IF(J439&gt;=12,(MID(Q440,1,1)&amp;MID(Q440,2,3)+1),CELL("address",AI440))</f>
        <v>$AI$440</v>
      </c>
    </row>
    <row r="441" spans="1:8" ht="15" customHeight="1">
      <c r="A441" s="274"/>
      <c r="B441" s="274"/>
      <c r="C441" s="277"/>
      <c r="D441" s="74" t="s">
        <v>216</v>
      </c>
      <c r="E441" s="69">
        <v>0.01</v>
      </c>
      <c r="G441" s="126" t="str">
        <f>CONCATENATE(D441," - ",E441,", ")</f>
        <v>MS Angle/ Channel Scrap - 0.01, </v>
      </c>
      <c r="H441" s="139"/>
    </row>
    <row r="442" spans="1:8" ht="15" customHeight="1">
      <c r="A442" s="274"/>
      <c r="B442" s="274"/>
      <c r="C442" s="277"/>
      <c r="D442" s="196" t="s">
        <v>201</v>
      </c>
      <c r="E442" s="73">
        <v>0.277</v>
      </c>
      <c r="F442" s="1">
        <v>0.248</v>
      </c>
      <c r="G442" s="126" t="str">
        <f>CONCATENATE(D442," - ",E442,", ")</f>
        <v>G.I. scrap - 0.277, </v>
      </c>
      <c r="H442" s="139"/>
    </row>
    <row r="443" spans="1:23" ht="15" customHeight="1">
      <c r="A443" s="274"/>
      <c r="B443" s="274"/>
      <c r="C443" s="277"/>
      <c r="D443" s="46" t="s">
        <v>232</v>
      </c>
      <c r="E443" s="71">
        <v>0.205</v>
      </c>
      <c r="G443" s="126" t="str">
        <f>CONCATENATE(D443," - ",E443,", ")</f>
        <v>GI wire /GSL scrap - 0.205, </v>
      </c>
      <c r="H443" s="139"/>
      <c r="S443" s="359"/>
      <c r="T443" s="359"/>
      <c r="U443" s="359"/>
      <c r="V443" s="359"/>
      <c r="W443" s="359"/>
    </row>
    <row r="444" spans="1:8" ht="15" customHeight="1">
      <c r="A444" s="274"/>
      <c r="B444" s="274"/>
      <c r="C444" s="277"/>
      <c r="D444" s="184" t="s">
        <v>344</v>
      </c>
      <c r="E444" s="71">
        <v>0.015</v>
      </c>
      <c r="G444" s="126" t="str">
        <f>CONCATENATE(D444," - ",E444,", ")</f>
        <v>MS Nuts &amp; bolts scrap - 0.015, </v>
      </c>
      <c r="H444" s="139"/>
    </row>
    <row r="445" spans="1:8" ht="15" customHeight="1">
      <c r="A445" s="45"/>
      <c r="B445" s="47"/>
      <c r="C445" s="54"/>
      <c r="D445" s="111"/>
      <c r="E445" s="73"/>
      <c r="G445" s="126"/>
      <c r="H445" s="139"/>
    </row>
    <row r="446" spans="1:8" ht="15" customHeight="1">
      <c r="A446" s="60"/>
      <c r="B446" s="61"/>
      <c r="C446" s="61"/>
      <c r="D446" s="64"/>
      <c r="E446" s="59">
        <f>SUM(E448:E449)</f>
        <v>15.134999999999998</v>
      </c>
      <c r="G446" s="126"/>
      <c r="H446" s="139"/>
    </row>
    <row r="447" spans="1:18" ht="15" customHeight="1">
      <c r="A447" s="292" t="s">
        <v>5</v>
      </c>
      <c r="B447" s="292"/>
      <c r="C447" s="27" t="s">
        <v>17</v>
      </c>
      <c r="D447" s="90" t="s">
        <v>18</v>
      </c>
      <c r="E447" s="27" t="s">
        <v>7</v>
      </c>
      <c r="G447" s="128" t="str">
        <f>CONCATENATE("Misc. Iron Scrap, Lying at ",C448,". Quantity in MT - ")</f>
        <v>Misc. Iron Scrap, Lying at OL Moga. Quantity in MT - </v>
      </c>
      <c r="H447" s="273" t="str">
        <f ca="1">CONCATENATE(G447,G448,(INDIRECT(I448)),(INDIRECT(J448)),(INDIRECT(K448)),(INDIRECT(L448)),(INDIRECT(M448)),(INDIRECT(N448)),(INDIRECT(O448)),(INDIRECT(P448)),(INDIRECT(Q448)),(INDIRECT(R448)),".")</f>
        <v>Misc. Iron Scrap, Lying at OL Moga. Quantity in MT - MS iron scrap - 8.79, Transformer body scrap - 6.345, .</v>
      </c>
      <c r="I447" s="135" t="str">
        <f aca="true" ca="1" t="array" ref="I447">CELL("address",INDEX(G447:G544,MATCH(TRUE,ISBLANK(G447:G544),0)))</f>
        <v>$G$450</v>
      </c>
      <c r="J447" s="135">
        <f aca="true" t="array" ref="J447">MATCH(TRUE,ISBLANK(G447:G544),0)</f>
        <v>4</v>
      </c>
      <c r="K447" s="135">
        <f>J447-3</f>
        <v>1</v>
      </c>
      <c r="L447" s="135"/>
      <c r="M447" s="135"/>
      <c r="N447" s="135"/>
      <c r="O447" s="135"/>
      <c r="P447" s="135"/>
      <c r="Q447" s="135"/>
      <c r="R447" s="135"/>
    </row>
    <row r="448" spans="1:18" ht="15" customHeight="1">
      <c r="A448" s="274" t="s">
        <v>215</v>
      </c>
      <c r="B448" s="274"/>
      <c r="C448" s="277" t="s">
        <v>288</v>
      </c>
      <c r="D448" s="48" t="s">
        <v>29</v>
      </c>
      <c r="E448" s="52">
        <v>8.79</v>
      </c>
      <c r="G448" s="126" t="str">
        <f>CONCATENATE(D448," - ",E448,", ")</f>
        <v>MS iron scrap - 8.79, </v>
      </c>
      <c r="H448" s="273"/>
      <c r="I448" s="135" t="str">
        <f ca="1">IF(J447&gt;=3,(MID(I447,2,1)&amp;MID(I447,4,3)-K447),CELL("address",Z448))</f>
        <v>G449</v>
      </c>
      <c r="J448" s="135" t="str">
        <f ca="1">IF(J447&gt;=4,(MID(I448,1,1)&amp;MID(I448,2,3)+1),CELL("address",AA448))</f>
        <v>G450</v>
      </c>
      <c r="K448" s="135" t="str">
        <f ca="1">IF(J447&gt;=5,(MID(J448,1,1)&amp;MID(J448,2,3)+1),CELL("address",AB448))</f>
        <v>$AB$448</v>
      </c>
      <c r="L448" s="135" t="str">
        <f ca="1">IF(J447&gt;=6,(MID(K448,1,1)&amp;MID(K448,2,3)+1),CELL("address",AC448))</f>
        <v>$AC$448</v>
      </c>
      <c r="M448" s="135" t="str">
        <f ca="1">IF(J447&gt;=7,(MID(L448,1,1)&amp;MID(L448,2,3)+1),CELL("address",AD448))</f>
        <v>$AD$448</v>
      </c>
      <c r="N448" s="135" t="str">
        <f ca="1">IF(J447&gt;=8,(MID(M448,1,1)&amp;MID(M448,2,3)+1),CELL("address",AE448))</f>
        <v>$AE$448</v>
      </c>
      <c r="O448" s="135" t="str">
        <f ca="1">IF(J447&gt;=9,(MID(N448,1,1)&amp;MID(N448,2,3)+1),CELL("address",AF448))</f>
        <v>$AF$448</v>
      </c>
      <c r="P448" s="135" t="str">
        <f ca="1">IF(J447&gt;=10,(MID(O448,1,1)&amp;MID(O448,2,3)+1),CELL("address",AG448))</f>
        <v>$AG$448</v>
      </c>
      <c r="Q448" s="135" t="str">
        <f ca="1">IF(J447&gt;=11,(MID(P448,1,1)&amp;MID(P448,2,3)+1),CELL("address",AH448))</f>
        <v>$AH$448</v>
      </c>
      <c r="R448" s="135" t="str">
        <f ca="1">IF(J447&gt;=12,(MID(Q448,1,1)&amp;MID(Q448,2,3)+1),CELL("address",AI448))</f>
        <v>$AI$448</v>
      </c>
    </row>
    <row r="449" spans="1:8" ht="15" customHeight="1">
      <c r="A449" s="274"/>
      <c r="B449" s="274"/>
      <c r="C449" s="277"/>
      <c r="D449" s="105" t="s">
        <v>61</v>
      </c>
      <c r="E449" s="52">
        <v>6.345</v>
      </c>
      <c r="G449" s="126" t="str">
        <f>CONCATENATE(D449," - ",E449,", ")</f>
        <v>Transformer body scrap - 6.345, </v>
      </c>
      <c r="H449" s="139"/>
    </row>
    <row r="450" spans="1:8" ht="15" customHeight="1">
      <c r="A450" s="45"/>
      <c r="B450" s="47"/>
      <c r="C450" s="54"/>
      <c r="D450" s="123"/>
      <c r="E450" s="71"/>
      <c r="G450" s="126"/>
      <c r="H450" s="139"/>
    </row>
    <row r="451" spans="1:8" ht="15" customHeight="1">
      <c r="A451" s="60"/>
      <c r="B451" s="61"/>
      <c r="C451" s="61"/>
      <c r="D451" s="62"/>
      <c r="E451" s="63">
        <f>SUM(E453:E455)</f>
        <v>3.093</v>
      </c>
      <c r="G451" s="126"/>
      <c r="H451" s="139"/>
    </row>
    <row r="452" spans="1:18" ht="15" customHeight="1">
      <c r="A452" s="274" t="s">
        <v>5</v>
      </c>
      <c r="B452" s="274"/>
      <c r="C452" s="46" t="s">
        <v>17</v>
      </c>
      <c r="D452" s="256" t="s">
        <v>18</v>
      </c>
      <c r="E452" s="46" t="s">
        <v>7</v>
      </c>
      <c r="G452" s="128" t="str">
        <f>CONCATENATE("Misc. Iron Scrap, Lying at ",C453,". Quantity in MT - ")</f>
        <v>Misc. Iron Scrap, Lying at CS Bathinda. Quantity in MT - </v>
      </c>
      <c r="H452" s="273" t="str">
        <f ca="1">CONCATENATE(G452,G453,(INDIRECT(I453)),(INDIRECT(J453)),(INDIRECT(K453)),(INDIRECT(L453)),(INDIRECT(M453)),(INDIRECT(N453)),(INDIRECT(O453)),(INDIRECT(P453)),(INDIRECT(Q453)),(INDIRECT(R453)),".")</f>
        <v>Misc. Iron Scrap, Lying at CS Bathinda. Quantity in MT - MS iron scrap - 2.891, G.I. Scrap - 0.062, Teen Patra scrap - 0.14, .</v>
      </c>
      <c r="I452" s="135" t="str">
        <f aca="true" ca="1" t="array" ref="I452">CELL("address",INDEX(G452:G549,MATCH(TRUE,ISBLANK(G452:G549),0)))</f>
        <v>$G$456</v>
      </c>
      <c r="J452" s="135">
        <f aca="true" t="array" ref="J452">MATCH(TRUE,ISBLANK(G452:G549),0)</f>
        <v>5</v>
      </c>
      <c r="K452" s="135">
        <f>J452-3</f>
        <v>2</v>
      </c>
      <c r="L452" s="135"/>
      <c r="M452" s="135"/>
      <c r="N452" s="135"/>
      <c r="O452" s="135"/>
      <c r="P452" s="135"/>
      <c r="Q452" s="135"/>
      <c r="R452" s="135"/>
    </row>
    <row r="453" spans="1:18" ht="15" customHeight="1">
      <c r="A453" s="274" t="s">
        <v>355</v>
      </c>
      <c r="B453" s="274"/>
      <c r="C453" s="277" t="s">
        <v>64</v>
      </c>
      <c r="D453" s="233" t="s">
        <v>29</v>
      </c>
      <c r="E453" s="261">
        <v>2.891</v>
      </c>
      <c r="F453" s="1">
        <v>1.31</v>
      </c>
      <c r="G453" s="126" t="str">
        <f>CONCATENATE(D453," - ",E453,", ")</f>
        <v>MS iron scrap - 2.891, </v>
      </c>
      <c r="H453" s="273"/>
      <c r="I453" s="135" t="str">
        <f ca="1">IF(J452&gt;=3,(MID(I452,2,1)&amp;MID(I452,4,3)-K452),CELL("address",Z453))</f>
        <v>G454</v>
      </c>
      <c r="J453" s="135" t="str">
        <f ca="1">IF(J452&gt;=4,(MID(I453,1,1)&amp;MID(I453,2,3)+1),CELL("address",AA453))</f>
        <v>G455</v>
      </c>
      <c r="K453" s="135" t="str">
        <f ca="1">IF(J452&gt;=5,(MID(J453,1,1)&amp;MID(J453,2,3)+1),CELL("address",AB453))</f>
        <v>G456</v>
      </c>
      <c r="L453" s="135" t="str">
        <f ca="1">IF(J452&gt;=6,(MID(K453,1,1)&amp;MID(K453,2,3)+1),CELL("address",AC453))</f>
        <v>$AC$453</v>
      </c>
      <c r="M453" s="135" t="str">
        <f ca="1">IF(J452&gt;=7,(MID(L453,1,1)&amp;MID(L453,2,3)+1),CELL("address",AD453))</f>
        <v>$AD$453</v>
      </c>
      <c r="N453" s="135" t="str">
        <f ca="1">IF(J452&gt;=8,(MID(M453,1,1)&amp;MID(M453,2,3)+1),CELL("address",AE453))</f>
        <v>$AE$453</v>
      </c>
      <c r="O453" s="135" t="str">
        <f ca="1">IF(J452&gt;=9,(MID(N453,1,1)&amp;MID(N453,2,3)+1),CELL("address",AF453))</f>
        <v>$AF$453</v>
      </c>
      <c r="P453" s="135" t="str">
        <f ca="1">IF(J452&gt;=10,(MID(O453,1,1)&amp;MID(O453,2,3)+1),CELL("address",AG453))</f>
        <v>$AG$453</v>
      </c>
      <c r="Q453" s="135" t="str">
        <f ca="1">IF(J452&gt;=11,(MID(P453,1,1)&amp;MID(P453,2,3)+1),CELL("address",AH453))</f>
        <v>$AH$453</v>
      </c>
      <c r="R453" s="135" t="str">
        <f ca="1">IF(J452&gt;=12,(MID(Q453,1,1)&amp;MID(Q453,2,3)+1),CELL("address",AI453))</f>
        <v>$AI$453</v>
      </c>
    </row>
    <row r="454" spans="1:8" ht="15" customHeight="1">
      <c r="A454" s="274"/>
      <c r="B454" s="274"/>
      <c r="C454" s="277"/>
      <c r="D454" s="231" t="s">
        <v>206</v>
      </c>
      <c r="E454" s="73">
        <v>0.062</v>
      </c>
      <c r="F454" s="1">
        <v>0.058</v>
      </c>
      <c r="G454" s="126" t="str">
        <f>CONCATENATE(D454," - ",E454,", ")</f>
        <v>G.I. Scrap - 0.062, </v>
      </c>
      <c r="H454" s="139"/>
    </row>
    <row r="455" spans="1:8" ht="15" customHeight="1">
      <c r="A455" s="45"/>
      <c r="B455" s="47"/>
      <c r="C455" s="54"/>
      <c r="D455" s="39" t="s">
        <v>65</v>
      </c>
      <c r="E455" s="73">
        <v>0.14</v>
      </c>
      <c r="F455" s="1" t="s">
        <v>408</v>
      </c>
      <c r="G455" s="126" t="str">
        <f>CONCATENATE(D455," - ",E455,", ")</f>
        <v>Teen Patra scrap - 0.14, </v>
      </c>
      <c r="H455" s="139"/>
    </row>
    <row r="456" spans="1:8" ht="15" customHeight="1">
      <c r="A456" s="45"/>
      <c r="B456" s="47"/>
      <c r="C456" s="54"/>
      <c r="D456" s="123"/>
      <c r="E456" s="71"/>
      <c r="G456" s="126"/>
      <c r="H456" s="139"/>
    </row>
    <row r="457" spans="1:8" ht="15" customHeight="1">
      <c r="A457" s="60"/>
      <c r="B457" s="61"/>
      <c r="C457" s="61"/>
      <c r="D457" s="64"/>
      <c r="E457" s="59">
        <f>SUM(E459:E462)</f>
        <v>4.599</v>
      </c>
      <c r="G457" s="126"/>
      <c r="H457" s="139"/>
    </row>
    <row r="458" spans="1:18" ht="15" customHeight="1">
      <c r="A458" s="274" t="s">
        <v>5</v>
      </c>
      <c r="B458" s="274"/>
      <c r="C458" s="46" t="s">
        <v>17</v>
      </c>
      <c r="D458" s="256" t="s">
        <v>18</v>
      </c>
      <c r="E458" s="46" t="s">
        <v>7</v>
      </c>
      <c r="G458" s="128" t="str">
        <f>CONCATENATE("Misc. Iron Scrap, Lying at ",C459,". Quantity in MT - ")</f>
        <v>Misc. Iron Scrap, Lying at CS Sangrur. Quantity in MT - </v>
      </c>
      <c r="H458" s="273" t="str">
        <f ca="1">CONCATENATE(G458,G459,(INDIRECT(I459)),(INDIRECT(J459)),(INDIRECT(K459)),(INDIRECT(L459)),(INDIRECT(M459)),(INDIRECT(N459)),(INDIRECT(O459)),(INDIRECT(P459)),(INDIRECT(Q459)),(INDIRECT(R459)),".")</f>
        <v>Misc. Iron Scrap, Lying at CS Sangrur. Quantity in MT - MS iron scrap - 0.375, Transformer body scrap - 3.672, GI scrap - 0.012, M.S. Rail Scrap - 0.54, .</v>
      </c>
      <c r="I458" s="135" t="str">
        <f aca="true" ca="1" t="array" ref="I458">CELL("address",INDEX(G458:G555,MATCH(TRUE,ISBLANK(G458:G555),0)))</f>
        <v>$G$463</v>
      </c>
      <c r="J458" s="135">
        <f aca="true" t="array" ref="J458">MATCH(TRUE,ISBLANK(G458:G555),0)</f>
        <v>6</v>
      </c>
      <c r="K458" s="135">
        <f>J458-3</f>
        <v>3</v>
      </c>
      <c r="L458" s="135"/>
      <c r="M458" s="135"/>
      <c r="N458" s="135"/>
      <c r="O458" s="135"/>
      <c r="P458" s="135"/>
      <c r="Q458" s="135"/>
      <c r="R458" s="135"/>
    </row>
    <row r="459" spans="1:18" ht="15" customHeight="1">
      <c r="A459" s="274" t="s">
        <v>184</v>
      </c>
      <c r="B459" s="274"/>
      <c r="C459" s="277" t="s">
        <v>80</v>
      </c>
      <c r="D459" s="233" t="s">
        <v>29</v>
      </c>
      <c r="E459" s="261">
        <v>0.375</v>
      </c>
      <c r="F459" s="1" t="s">
        <v>408</v>
      </c>
      <c r="G459" s="126" t="str">
        <f>CONCATENATE(D459," - ",E459,", ")</f>
        <v>MS iron scrap - 0.375, </v>
      </c>
      <c r="H459" s="273"/>
      <c r="I459" s="135" t="str">
        <f ca="1">IF(J458&gt;=3,(MID(I458,2,1)&amp;MID(I458,4,3)-K458),CELL("address",Z459))</f>
        <v>G460</v>
      </c>
      <c r="J459" s="135" t="str">
        <f ca="1">IF(J458&gt;=4,(MID(I459,1,1)&amp;MID(I459,2,3)+1),CELL("address",AA459))</f>
        <v>G461</v>
      </c>
      <c r="K459" s="135" t="str">
        <f ca="1">IF(J458&gt;=5,(MID(J459,1,1)&amp;MID(J459,2,3)+1),CELL("address",AB459))</f>
        <v>G462</v>
      </c>
      <c r="L459" s="135" t="str">
        <f ca="1">IF(J458&gt;=6,(MID(K459,1,1)&amp;MID(K459,2,3)+1),CELL("address",AC459))</f>
        <v>G463</v>
      </c>
      <c r="M459" s="135" t="str">
        <f ca="1">IF(J458&gt;=7,(MID(L459,1,1)&amp;MID(L459,2,3)+1),CELL("address",AD459))</f>
        <v>$AD$459</v>
      </c>
      <c r="N459" s="135" t="str">
        <f ca="1">IF(J458&gt;=8,(MID(M459,1,1)&amp;MID(M459,2,3)+1),CELL("address",AE459))</f>
        <v>$AE$459</v>
      </c>
      <c r="O459" s="135" t="str">
        <f ca="1">IF(J458&gt;=9,(MID(N459,1,1)&amp;MID(N459,2,3)+1),CELL("address",AF459))</f>
        <v>$AF$459</v>
      </c>
      <c r="P459" s="135" t="str">
        <f ca="1">IF(J458&gt;=10,(MID(O459,1,1)&amp;MID(O459,2,3)+1),CELL("address",AG459))</f>
        <v>$AG$459</v>
      </c>
      <c r="Q459" s="135" t="str">
        <f ca="1">IF(J458&gt;=11,(MID(P459,1,1)&amp;MID(P459,2,3)+1),CELL("address",AH459))</f>
        <v>$AH$459</v>
      </c>
      <c r="R459" s="135" t="str">
        <f ca="1">IF(J458&gt;=12,(MID(Q459,1,1)&amp;MID(Q459,2,3)+1),CELL("address",AI459))</f>
        <v>$AI$459</v>
      </c>
    </row>
    <row r="460" spans="1:8" ht="15" customHeight="1">
      <c r="A460" s="274"/>
      <c r="B460" s="274"/>
      <c r="C460" s="277"/>
      <c r="D460" s="231" t="s">
        <v>61</v>
      </c>
      <c r="E460" s="261">
        <v>3.672</v>
      </c>
      <c r="F460" s="1" t="s">
        <v>408</v>
      </c>
      <c r="G460" s="126" t="str">
        <f>CONCATENATE(D460," - ",E460,", ")</f>
        <v>Transformer body scrap - 3.672, </v>
      </c>
      <c r="H460" s="139"/>
    </row>
    <row r="461" spans="1:8" ht="15" customHeight="1">
      <c r="A461" s="274"/>
      <c r="B461" s="274"/>
      <c r="C461" s="277"/>
      <c r="D461" s="105" t="s">
        <v>182</v>
      </c>
      <c r="E461" s="71">
        <v>0.012</v>
      </c>
      <c r="G461" s="126" t="str">
        <f>CONCATENATE(D461," - ",E461,", ")</f>
        <v>GI scrap - 0.012, </v>
      </c>
      <c r="H461" s="139"/>
    </row>
    <row r="462" spans="1:8" ht="15" customHeight="1">
      <c r="A462" s="274"/>
      <c r="B462" s="274"/>
      <c r="C462" s="277"/>
      <c r="D462" s="231" t="s">
        <v>243</v>
      </c>
      <c r="E462" s="73">
        <v>0.54</v>
      </c>
      <c r="F462" s="1" t="s">
        <v>408</v>
      </c>
      <c r="G462" s="126" t="str">
        <f>CONCATENATE(D462," - ",E462,", ")</f>
        <v>M.S. Rail Scrap - 0.54, </v>
      </c>
      <c r="H462" s="139"/>
    </row>
    <row r="463" spans="1:8" ht="15" customHeight="1">
      <c r="A463" s="45"/>
      <c r="B463" s="47"/>
      <c r="C463" s="54"/>
      <c r="D463" s="44"/>
      <c r="E463" s="73"/>
      <c r="G463" s="126"/>
      <c r="H463" s="139"/>
    </row>
    <row r="464" spans="1:8" ht="15" customHeight="1">
      <c r="A464" s="279"/>
      <c r="B464" s="280"/>
      <c r="C464" s="46"/>
      <c r="D464" s="86"/>
      <c r="E464" s="59">
        <f>SUM(E466:E467)</f>
        <v>1.8070000000000002</v>
      </c>
      <c r="G464" s="126"/>
      <c r="H464" s="139"/>
    </row>
    <row r="465" spans="1:18" ht="15" customHeight="1">
      <c r="A465" s="274" t="s">
        <v>5</v>
      </c>
      <c r="B465" s="274"/>
      <c r="C465" s="46" t="s">
        <v>17</v>
      </c>
      <c r="D465" s="256" t="s">
        <v>18</v>
      </c>
      <c r="E465" s="46" t="s">
        <v>7</v>
      </c>
      <c r="G465" s="128" t="str">
        <f>CONCATENATE("Misc. Iron Scrap, Lying at ",C466,". Quantity in MT - ")</f>
        <v>Misc. Iron Scrap, Lying at OL Patran. Quantity in MT - </v>
      </c>
      <c r="H465" s="273" t="str">
        <f ca="1">CONCATENATE(G465,G466,(INDIRECT(I466)),(INDIRECT(J466)),(INDIRECT(K466)),(INDIRECT(L466)),(INDIRECT(M466)),(INDIRECT(N466)),(INDIRECT(O466)),(INDIRECT(P466)),(INDIRECT(Q466)),(INDIRECT(R466)),".")</f>
        <v>Misc. Iron Scrap, Lying at OL Patran. Quantity in MT - MS iron scrap - 1.727, Teen Patra scrap - 0.08, .</v>
      </c>
      <c r="I465" s="135" t="str">
        <f aca="true" ca="1" t="array" ref="I465">CELL("address",INDEX(G465:G564,MATCH(TRUE,ISBLANK(G465:G564),0)))</f>
        <v>$G$468</v>
      </c>
      <c r="J465" s="135">
        <f aca="true" t="array" ref="J465">MATCH(TRUE,ISBLANK(G465:G564),0)</f>
        <v>4</v>
      </c>
      <c r="K465" s="135">
        <f>J465-3</f>
        <v>1</v>
      </c>
      <c r="L465" s="135"/>
      <c r="M465" s="135"/>
      <c r="N465" s="135"/>
      <c r="O465" s="135"/>
      <c r="P465" s="135"/>
      <c r="Q465" s="135"/>
      <c r="R465" s="135"/>
    </row>
    <row r="466" spans="1:18" ht="15" customHeight="1">
      <c r="A466" s="274" t="s">
        <v>185</v>
      </c>
      <c r="B466" s="274"/>
      <c r="C466" s="277" t="s">
        <v>103</v>
      </c>
      <c r="D466" s="257" t="s">
        <v>29</v>
      </c>
      <c r="E466" s="261">
        <v>1.727</v>
      </c>
      <c r="F466" s="1" t="s">
        <v>408</v>
      </c>
      <c r="G466" s="126" t="str">
        <f>CONCATENATE(D466," - ",E466,", ")</f>
        <v>MS iron scrap - 1.727, </v>
      </c>
      <c r="H466" s="273"/>
      <c r="I466" s="135" t="str">
        <f ca="1">IF(J465&gt;=3,(MID(I465,2,1)&amp;MID(I465,4,3)-K465),CELL("address",Z466))</f>
        <v>G467</v>
      </c>
      <c r="J466" s="135" t="str">
        <f ca="1">IF(J465&gt;=4,(MID(I466,1,1)&amp;MID(I466,2,3)+1),CELL("address",AA466))</f>
        <v>G468</v>
      </c>
      <c r="K466" s="135" t="str">
        <f ca="1">IF(J465&gt;=5,(MID(J466,1,1)&amp;MID(J466,2,3)+1),CELL("address",AB466))</f>
        <v>$AB$466</v>
      </c>
      <c r="L466" s="135" t="str">
        <f ca="1">IF(J465&gt;=6,(MID(K466,1,1)&amp;MID(K466,2,3)+1),CELL("address",AC466))</f>
        <v>$AC$466</v>
      </c>
      <c r="M466" s="135" t="str">
        <f ca="1">IF(J465&gt;=7,(MID(L466,1,1)&amp;MID(L466,2,3)+1),CELL("address",AD466))</f>
        <v>$AD$466</v>
      </c>
      <c r="N466" s="135" t="str">
        <f ca="1">IF(J465&gt;=8,(MID(M466,1,1)&amp;MID(M466,2,3)+1),CELL("address",AE466))</f>
        <v>$AE$466</v>
      </c>
      <c r="O466" s="135" t="str">
        <f ca="1">IF(J465&gt;=9,(MID(N466,1,1)&amp;MID(N466,2,3)+1),CELL("address",AF466))</f>
        <v>$AF$466</v>
      </c>
      <c r="P466" s="135" t="str">
        <f ca="1">IF(J465&gt;=10,(MID(O466,1,1)&amp;MID(O466,2,3)+1),CELL("address",AG466))</f>
        <v>$AG$466</v>
      </c>
      <c r="Q466" s="135" t="str">
        <f ca="1">IF(J465&gt;=11,(MID(P466,1,1)&amp;MID(P466,2,3)+1),CELL("address",AH466))</f>
        <v>$AH$466</v>
      </c>
      <c r="R466" s="135" t="str">
        <f ca="1">IF(J465&gt;=12,(MID(Q466,1,1)&amp;MID(Q466,2,3)+1),CELL("address",AI466))</f>
        <v>$AI$466</v>
      </c>
    </row>
    <row r="467" spans="1:8" ht="15" customHeight="1">
      <c r="A467" s="274"/>
      <c r="B467" s="274"/>
      <c r="C467" s="277"/>
      <c r="D467" s="39" t="s">
        <v>65</v>
      </c>
      <c r="E467" s="73">
        <v>0.08</v>
      </c>
      <c r="F467" s="1" t="s">
        <v>408</v>
      </c>
      <c r="G467" s="126" t="str">
        <f>CONCATENATE(D467," - ",E467,", ")</f>
        <v>Teen Patra scrap - 0.08, </v>
      </c>
      <c r="H467" s="139"/>
    </row>
    <row r="468" spans="1:8" ht="15" customHeight="1">
      <c r="A468" s="45"/>
      <c r="B468" s="47"/>
      <c r="C468" s="54"/>
      <c r="D468" s="123"/>
      <c r="E468" s="71"/>
      <c r="G468" s="126"/>
      <c r="H468" s="139"/>
    </row>
    <row r="469" spans="1:8" ht="15" customHeight="1">
      <c r="A469" s="60"/>
      <c r="B469" s="61"/>
      <c r="C469" s="61"/>
      <c r="D469" s="64"/>
      <c r="E469" s="59">
        <f>SUM(E471:E473)</f>
        <v>2.472</v>
      </c>
      <c r="G469" s="126"/>
      <c r="H469" s="139"/>
    </row>
    <row r="470" spans="1:18" ht="15" customHeight="1">
      <c r="A470" s="274" t="s">
        <v>5</v>
      </c>
      <c r="B470" s="274"/>
      <c r="C470" s="46" t="s">
        <v>17</v>
      </c>
      <c r="D470" s="256" t="s">
        <v>18</v>
      </c>
      <c r="E470" s="46" t="s">
        <v>7</v>
      </c>
      <c r="G470" s="128" t="str">
        <f>CONCATENATE("Misc. Iron Scrap, Lying at ",C471,". Quantity in MT - ")</f>
        <v>Misc. Iron Scrap, Lying at OL Barnala. Quantity in MT - </v>
      </c>
      <c r="H470" s="273" t="str">
        <f ca="1">CONCATENATE(G470,G471,(INDIRECT(I471)),(INDIRECT(J471)),(INDIRECT(K471)),(INDIRECT(L471)),(INDIRECT(M471)),(INDIRECT(N471)),(INDIRECT(O471)),(INDIRECT(P471)),(INDIRECT(Q471)),(INDIRECT(R471)),".")</f>
        <v>Misc. Iron Scrap, Lying at OL Barnala. Quantity in MT - MS iron scrap - 1.436, G.I. scrap - 0.016, M.S. Rail Scrap - 1.02, .</v>
      </c>
      <c r="I470" s="135" t="str">
        <f aca="true" ca="1" t="array" ref="I470">CELL("address",INDEX(G470:G569,MATCH(TRUE,ISBLANK(G470:G569),0)))</f>
        <v>$G$474</v>
      </c>
      <c r="J470" s="135">
        <f aca="true" t="array" ref="J470">MATCH(TRUE,ISBLANK(G470:G569),0)</f>
        <v>5</v>
      </c>
      <c r="K470" s="135">
        <f>J470-3</f>
        <v>2</v>
      </c>
      <c r="L470" s="135"/>
      <c r="M470" s="135"/>
      <c r="N470" s="135"/>
      <c r="O470" s="135"/>
      <c r="P470" s="135"/>
      <c r="Q470" s="135"/>
      <c r="R470" s="135"/>
    </row>
    <row r="471" spans="1:18" ht="15" customHeight="1">
      <c r="A471" s="274" t="s">
        <v>409</v>
      </c>
      <c r="B471" s="274"/>
      <c r="C471" s="277" t="s">
        <v>198</v>
      </c>
      <c r="D471" s="233" t="s">
        <v>29</v>
      </c>
      <c r="E471" s="261">
        <v>1.436</v>
      </c>
      <c r="F471" s="1" t="s">
        <v>408</v>
      </c>
      <c r="G471" s="126" t="str">
        <f>CONCATENATE(D471," - ",E471,", ")</f>
        <v>MS iron scrap - 1.436, </v>
      </c>
      <c r="H471" s="273"/>
      <c r="I471" s="135" t="str">
        <f ca="1">IF(J470&gt;=3,(MID(I470,2,1)&amp;MID(I470,4,3)-K470),CELL("address",Z471))</f>
        <v>G472</v>
      </c>
      <c r="J471" s="135" t="str">
        <f ca="1">IF(J470&gt;=4,(MID(I471,1,1)&amp;MID(I471,2,3)+1),CELL("address",AA471))</f>
        <v>G473</v>
      </c>
      <c r="K471" s="135" t="str">
        <f ca="1">IF(J470&gt;=5,(MID(J471,1,1)&amp;MID(J471,2,3)+1),CELL("address",AB471))</f>
        <v>G474</v>
      </c>
      <c r="L471" s="135" t="str">
        <f ca="1">IF(J470&gt;=6,(MID(K471,1,1)&amp;MID(K471,2,3)+1),CELL("address",AC471))</f>
        <v>$AC$471</v>
      </c>
      <c r="M471" s="135" t="str">
        <f ca="1">IF(J470&gt;=7,(MID(L471,1,1)&amp;MID(L471,2,3)+1),CELL("address",AD471))</f>
        <v>$AD$471</v>
      </c>
      <c r="N471" s="135" t="str">
        <f ca="1">IF(J470&gt;=8,(MID(M471,1,1)&amp;MID(M471,2,3)+1),CELL("address",AE471))</f>
        <v>$AE$471</v>
      </c>
      <c r="O471" s="135" t="str">
        <f ca="1">IF(J470&gt;=9,(MID(N471,1,1)&amp;MID(N471,2,3)+1),CELL("address",AF471))</f>
        <v>$AF$471</v>
      </c>
      <c r="P471" s="135" t="str">
        <f ca="1">IF(J470&gt;=10,(MID(O471,1,1)&amp;MID(O471,2,3)+1),CELL("address",AG471))</f>
        <v>$AG$471</v>
      </c>
      <c r="Q471" s="135" t="str">
        <f ca="1">IF(J470&gt;=11,(MID(P471,1,1)&amp;MID(P471,2,3)+1),CELL("address",AH471))</f>
        <v>$AH$471</v>
      </c>
      <c r="R471" s="135" t="str">
        <f ca="1">IF(J470&gt;=12,(MID(Q471,1,1)&amp;MID(Q471,2,3)+1),CELL("address",AI471))</f>
        <v>$AI$471</v>
      </c>
    </row>
    <row r="472" spans="1:8" ht="15" customHeight="1">
      <c r="A472" s="274"/>
      <c r="B472" s="274"/>
      <c r="C472" s="277"/>
      <c r="D472" s="105" t="s">
        <v>201</v>
      </c>
      <c r="E472" s="71">
        <v>0.016</v>
      </c>
      <c r="F472" s="1" t="s">
        <v>408</v>
      </c>
      <c r="G472" s="126" t="str">
        <f>CONCATENATE(D472," - ",E472,", ")</f>
        <v>G.I. scrap - 0.016, </v>
      </c>
      <c r="H472" s="139"/>
    </row>
    <row r="473" spans="1:8" ht="15" customHeight="1">
      <c r="A473" s="274"/>
      <c r="B473" s="274"/>
      <c r="C473" s="277"/>
      <c r="D473" s="231" t="s">
        <v>243</v>
      </c>
      <c r="E473" s="73">
        <v>1.02</v>
      </c>
      <c r="F473" s="1" t="s">
        <v>408</v>
      </c>
      <c r="G473" s="126" t="str">
        <f>CONCATENATE(D473," - ",E473,", ")</f>
        <v>M.S. Rail Scrap - 1.02, </v>
      </c>
      <c r="H473" s="139"/>
    </row>
    <row r="474" spans="1:8" ht="15" customHeight="1">
      <c r="A474" s="45"/>
      <c r="B474" s="47"/>
      <c r="C474" s="54"/>
      <c r="D474" s="123"/>
      <c r="E474" s="71"/>
      <c r="G474" s="126"/>
      <c r="H474" s="139"/>
    </row>
    <row r="475" spans="1:8" ht="15" customHeight="1">
      <c r="A475" s="60"/>
      <c r="B475" s="61"/>
      <c r="C475" s="61"/>
      <c r="D475" s="62"/>
      <c r="E475" s="63">
        <f>SUM(E477:E479)</f>
        <v>6.781</v>
      </c>
      <c r="G475" s="126"/>
      <c r="H475" s="139"/>
    </row>
    <row r="476" spans="1:18" ht="15" customHeight="1">
      <c r="A476" s="274" t="s">
        <v>5</v>
      </c>
      <c r="B476" s="274"/>
      <c r="C476" s="46" t="s">
        <v>17</v>
      </c>
      <c r="D476" s="256" t="s">
        <v>18</v>
      </c>
      <c r="E476" s="46" t="s">
        <v>7</v>
      </c>
      <c r="G476" s="128" t="str">
        <f>CONCATENATE("Misc. Iron Scrap, Lying at ",C477,". Quantity in MT - ")</f>
        <v>Misc. Iron Scrap, Lying at OL Malerkotla. Quantity in MT - </v>
      </c>
      <c r="H476" s="273" t="str">
        <f ca="1">CONCATENATE(G476,G477,(INDIRECT(I477)),(INDIRECT(J477)),(INDIRECT(K477)),(INDIRECT(L477)),(INDIRECT(M477)),(INDIRECT(N477)),(INDIRECT(O477)),(INDIRECT(P477)),(INDIRECT(Q477)),(INDIRECT(R477)),".")</f>
        <v>Misc. Iron Scrap, Lying at OL Malerkotla. Quantity in MT - MS iron scrap - 2.537, Transformer body scrap - 4.104, MS Rail scrap - 0.14, .</v>
      </c>
      <c r="I476" s="135" t="str">
        <f aca="true" ca="1" t="array" ref="I476">CELL("address",INDEX(G476:G575,MATCH(TRUE,ISBLANK(G476:G575),0)))</f>
        <v>$G$480</v>
      </c>
      <c r="J476" s="135">
        <f aca="true" t="array" ref="J476">MATCH(TRUE,ISBLANK(G476:G575),0)</f>
        <v>5</v>
      </c>
      <c r="K476" s="135">
        <f>J476-3</f>
        <v>2</v>
      </c>
      <c r="L476" s="135"/>
      <c r="M476" s="135"/>
      <c r="N476" s="135"/>
      <c r="O476" s="135"/>
      <c r="P476" s="135"/>
      <c r="Q476" s="135"/>
      <c r="R476" s="135"/>
    </row>
    <row r="477" spans="1:18" ht="15" customHeight="1">
      <c r="A477" s="274" t="s">
        <v>410</v>
      </c>
      <c r="B477" s="274"/>
      <c r="C477" s="277" t="s">
        <v>128</v>
      </c>
      <c r="D477" s="233" t="s">
        <v>29</v>
      </c>
      <c r="E477" s="261">
        <v>2.537</v>
      </c>
      <c r="F477" s="1" t="s">
        <v>408</v>
      </c>
      <c r="G477" s="126" t="str">
        <f>CONCATENATE(D477," - ",E477,", ")</f>
        <v>MS iron scrap - 2.537, </v>
      </c>
      <c r="H477" s="273"/>
      <c r="I477" s="135" t="str">
        <f ca="1">IF(J476&gt;=3,(MID(I476,2,1)&amp;MID(I476,4,3)-K476),CELL("address",Z477))</f>
        <v>G478</v>
      </c>
      <c r="J477" s="135" t="str">
        <f ca="1">IF(J476&gt;=4,(MID(I477,1,1)&amp;MID(I477,2,3)+1),CELL("address",AA477))</f>
        <v>G479</v>
      </c>
      <c r="K477" s="135" t="str">
        <f ca="1">IF(J476&gt;=5,(MID(J477,1,1)&amp;MID(J477,2,3)+1),CELL("address",AB477))</f>
        <v>G480</v>
      </c>
      <c r="L477" s="135" t="str">
        <f ca="1">IF(J476&gt;=6,(MID(K477,1,1)&amp;MID(K477,2,3)+1),CELL("address",AC477))</f>
        <v>$AC$477</v>
      </c>
      <c r="M477" s="135" t="str">
        <f ca="1">IF(J476&gt;=7,(MID(L477,1,1)&amp;MID(L477,2,3)+1),CELL("address",AD477))</f>
        <v>$AD$477</v>
      </c>
      <c r="N477" s="135" t="str">
        <f ca="1">IF(J476&gt;=8,(MID(M477,1,1)&amp;MID(M477,2,3)+1),CELL("address",AE477))</f>
        <v>$AE$477</v>
      </c>
      <c r="O477" s="135" t="str">
        <f ca="1">IF(J476&gt;=9,(MID(N477,1,1)&amp;MID(N477,2,3)+1),CELL("address",AF477))</f>
        <v>$AF$477</v>
      </c>
      <c r="P477" s="135" t="str">
        <f ca="1">IF(J476&gt;=10,(MID(O477,1,1)&amp;MID(O477,2,3)+1),CELL("address",AG477))</f>
        <v>$AG$477</v>
      </c>
      <c r="Q477" s="135" t="str">
        <f ca="1">IF(J476&gt;=11,(MID(P477,1,1)&amp;MID(P477,2,3)+1),CELL("address",AH477))</f>
        <v>$AH$477</v>
      </c>
      <c r="R477" s="135" t="str">
        <f ca="1">IF(J476&gt;=12,(MID(Q477,1,1)&amp;MID(Q477,2,3)+1),CELL("address",AI477))</f>
        <v>$AI$477</v>
      </c>
    </row>
    <row r="478" spans="1:8" ht="15" customHeight="1">
      <c r="A478" s="274"/>
      <c r="B478" s="274"/>
      <c r="C478" s="277"/>
      <c r="D478" s="231" t="s">
        <v>61</v>
      </c>
      <c r="E478" s="261">
        <v>4.104</v>
      </c>
      <c r="F478" s="1" t="s">
        <v>408</v>
      </c>
      <c r="G478" s="126" t="str">
        <f>CONCATENATE(D478," - ",E478,", ")</f>
        <v>Transformer body scrap - 4.104, </v>
      </c>
      <c r="H478" s="139"/>
    </row>
    <row r="479" spans="1:8" ht="15" customHeight="1">
      <c r="A479" s="274"/>
      <c r="B479" s="274"/>
      <c r="C479" s="277"/>
      <c r="D479" s="233" t="s">
        <v>62</v>
      </c>
      <c r="E479" s="73">
        <v>0.14</v>
      </c>
      <c r="F479" s="1" t="s">
        <v>408</v>
      </c>
      <c r="G479" s="126" t="str">
        <f>CONCATENATE(D479," - ",E479,", ")</f>
        <v>MS Rail scrap - 0.14, </v>
      </c>
      <c r="H479" s="139"/>
    </row>
    <row r="480" spans="1:8" ht="15" customHeight="1">
      <c r="A480" s="45"/>
      <c r="B480" s="47"/>
      <c r="C480" s="54"/>
      <c r="D480" s="265"/>
      <c r="E480" s="73"/>
      <c r="G480" s="126"/>
      <c r="H480" s="139"/>
    </row>
    <row r="481" spans="1:8" ht="15" customHeight="1">
      <c r="A481" s="279"/>
      <c r="B481" s="280"/>
      <c r="C481" s="46"/>
      <c r="D481" s="64"/>
      <c r="E481" s="63">
        <f>SUM(E483:E483)</f>
        <v>27.108</v>
      </c>
      <c r="G481" s="126"/>
      <c r="H481" s="139"/>
    </row>
    <row r="482" spans="1:18" ht="15" customHeight="1">
      <c r="A482" s="274" t="s">
        <v>5</v>
      </c>
      <c r="B482" s="274"/>
      <c r="C482" s="46" t="s">
        <v>17</v>
      </c>
      <c r="D482" s="256" t="s">
        <v>18</v>
      </c>
      <c r="E482" s="46" t="s">
        <v>7</v>
      </c>
      <c r="G482" s="128" t="str">
        <f>CONCATENATE("Misc. Iron Scrap, Lying at ",C483,". Quantity in MT - ")</f>
        <v>Misc. Iron Scrap, Lying at S &amp; T Store Bathinda. Quantity in MT - </v>
      </c>
      <c r="H482" s="273" t="str">
        <f ca="1">CONCATENATE(G482,G483,(INDIRECT(I483)),(INDIRECT(J483)),(INDIRECT(K483)),(INDIRECT(L483)),(INDIRECT(M483)),(INDIRECT(N483)),(INDIRECT(O483)),(INDIRECT(P483)),(INDIRECT(Q483)),(INDIRECT(R483)),".")</f>
        <v>Misc. Iron Scrap, Lying at S &amp; T Store Bathinda. Quantity in MT - MS Iron scrap - 27.108, .</v>
      </c>
      <c r="I482" s="135" t="str">
        <f aca="true" ca="1" t="array" ref="I482">CELL("address",INDEX(G482:G581,MATCH(TRUE,ISBLANK(G482:G581),0)))</f>
        <v>$G$484</v>
      </c>
      <c r="J482" s="135">
        <f aca="true" t="array" ref="J482">MATCH(TRUE,ISBLANK(G482:G581),0)</f>
        <v>3</v>
      </c>
      <c r="K482" s="135">
        <f>J482-3</f>
        <v>0</v>
      </c>
      <c r="L482" s="135"/>
      <c r="M482" s="135"/>
      <c r="N482" s="135"/>
      <c r="O482" s="135"/>
      <c r="P482" s="135"/>
      <c r="Q482" s="135"/>
      <c r="R482" s="135"/>
    </row>
    <row r="483" spans="1:18" ht="15" customHeight="1">
      <c r="A483" s="274" t="s">
        <v>200</v>
      </c>
      <c r="B483" s="274"/>
      <c r="C483" s="256" t="s">
        <v>58</v>
      </c>
      <c r="D483" s="257" t="s">
        <v>411</v>
      </c>
      <c r="E483" s="261">
        <v>27.108</v>
      </c>
      <c r="F483" s="1" t="s">
        <v>408</v>
      </c>
      <c r="G483" s="126" t="str">
        <f>CONCATENATE(D483," - ",E483,", ")</f>
        <v>MS Iron scrap - 27.108, </v>
      </c>
      <c r="H483" s="273"/>
      <c r="I483" s="135" t="str">
        <f ca="1">IF(J482&gt;=3,(MID(I482,2,1)&amp;MID(I482,4,3)-K482),CELL("address",Z483))</f>
        <v>G484</v>
      </c>
      <c r="J483" s="135" t="str">
        <f ca="1">IF(J482&gt;=4,(MID(I483,1,1)&amp;MID(I483,2,3)+1),CELL("address",AA483))</f>
        <v>$AA$483</v>
      </c>
      <c r="K483" s="135" t="str">
        <f ca="1">IF(J482&gt;=5,(MID(J483,1,1)&amp;MID(J483,2,3)+1),CELL("address",AB483))</f>
        <v>$AB$483</v>
      </c>
      <c r="L483" s="135" t="str">
        <f ca="1">IF(J482&gt;=6,(MID(K483,1,1)&amp;MID(K483,2,3)+1),CELL("address",AC483))</f>
        <v>$AC$483</v>
      </c>
      <c r="M483" s="135" t="str">
        <f ca="1">IF(J482&gt;=7,(MID(L483,1,1)&amp;MID(L483,2,3)+1),CELL("address",AD483))</f>
        <v>$AD$483</v>
      </c>
      <c r="N483" s="135" t="str">
        <f ca="1">IF(J482&gt;=8,(MID(M483,1,1)&amp;MID(M483,2,3)+1),CELL("address",AE483))</f>
        <v>$AE$483</v>
      </c>
      <c r="O483" s="135" t="str">
        <f ca="1">IF(J482&gt;=9,(MID(N483,1,1)&amp;MID(N483,2,3)+1),CELL("address",AF483))</f>
        <v>$AF$483</v>
      </c>
      <c r="P483" s="135" t="str">
        <f ca="1">IF(J482&gt;=10,(MID(O483,1,1)&amp;MID(O483,2,3)+1),CELL("address",AG483))</f>
        <v>$AG$483</v>
      </c>
      <c r="Q483" s="135" t="str">
        <f ca="1">IF(J482&gt;=11,(MID(P483,1,1)&amp;MID(P483,2,3)+1),CELL("address",AH483))</f>
        <v>$AH$483</v>
      </c>
      <c r="R483" s="135" t="str">
        <f ca="1">IF(J482&gt;=12,(MID(Q483,1,1)&amp;MID(Q483,2,3)+1),CELL("address",AI483))</f>
        <v>$AI$483</v>
      </c>
    </row>
    <row r="484" spans="1:8" ht="15" customHeight="1">
      <c r="A484" s="45"/>
      <c r="B484" s="47"/>
      <c r="C484" s="54"/>
      <c r="D484" s="265"/>
      <c r="E484" s="65"/>
      <c r="G484" s="126"/>
      <c r="H484" s="139"/>
    </row>
    <row r="485" spans="1:8" ht="15" customHeight="1">
      <c r="A485" s="60"/>
      <c r="B485" s="61"/>
      <c r="C485" s="61"/>
      <c r="D485" s="64"/>
      <c r="E485" s="59">
        <f>SUM(E487:E488)</f>
        <v>2.237</v>
      </c>
      <c r="G485" s="126"/>
      <c r="H485" s="139"/>
    </row>
    <row r="486" spans="1:18" ht="15" customHeight="1">
      <c r="A486" s="292" t="s">
        <v>5</v>
      </c>
      <c r="B486" s="292"/>
      <c r="C486" s="27" t="s">
        <v>17</v>
      </c>
      <c r="D486" s="90" t="s">
        <v>18</v>
      </c>
      <c r="E486" s="27" t="s">
        <v>7</v>
      </c>
      <c r="G486" s="128" t="str">
        <f>CONCATENATE("Misc. Iron Scrap, Lying at ",C487,". Quantity in MT - ")</f>
        <v>Misc. Iron Scrap, Lying at OL Mansa. Quantity in MT - </v>
      </c>
      <c r="H486" s="273" t="str">
        <f ca="1">CONCATENATE(G486,G487,(INDIRECT(I487)),(INDIRECT(J487)),(INDIRECT(K487)),(INDIRECT(L487)),(INDIRECT(M487)),(INDIRECT(N487)),(INDIRECT(O487)),(INDIRECT(P487)),(INDIRECT(Q487)),(INDIRECT(R487)),".")</f>
        <v>Misc. Iron Scrap, Lying at OL Mansa. Quantity in MT - MS iron scrap - 1.517, M.S. Nuts &amp; Bolts Scrap - 0.72, .</v>
      </c>
      <c r="I486" s="135" t="str">
        <f aca="true" ca="1" t="array" ref="I486">CELL("address",INDEX(G486:G585,MATCH(TRUE,ISBLANK(G486:G585),0)))</f>
        <v>$G$489</v>
      </c>
      <c r="J486" s="135">
        <f aca="true" t="array" ref="J486">MATCH(TRUE,ISBLANK(G486:G585),0)</f>
        <v>4</v>
      </c>
      <c r="K486" s="135">
        <f>J486-3</f>
        <v>1</v>
      </c>
      <c r="L486" s="135"/>
      <c r="M486" s="135"/>
      <c r="N486" s="135"/>
      <c r="O486" s="135"/>
      <c r="P486" s="135"/>
      <c r="Q486" s="135"/>
      <c r="R486" s="135"/>
    </row>
    <row r="487" spans="1:18" ht="15" customHeight="1">
      <c r="A487" s="274" t="s">
        <v>220</v>
      </c>
      <c r="B487" s="274"/>
      <c r="C487" s="277" t="s">
        <v>60</v>
      </c>
      <c r="D487" s="233" t="s">
        <v>29</v>
      </c>
      <c r="E487" s="261">
        <v>1.517</v>
      </c>
      <c r="F487" s="1" t="s">
        <v>408</v>
      </c>
      <c r="G487" s="126" t="str">
        <f>CONCATENATE(D487," - ",E487,", ")</f>
        <v>MS iron scrap - 1.517, </v>
      </c>
      <c r="H487" s="273"/>
      <c r="I487" s="135" t="str">
        <f ca="1">IF(J486&gt;=3,(MID(I486,2,1)&amp;MID(I486,4,3)-K486),CELL("address",Z487))</f>
        <v>G488</v>
      </c>
      <c r="J487" s="135" t="str">
        <f ca="1">IF(J486&gt;=4,(MID(I487,1,1)&amp;MID(I487,2,3)+1),CELL("address",AA487))</f>
        <v>G489</v>
      </c>
      <c r="K487" s="135" t="str">
        <f ca="1">IF(J486&gt;=5,(MID(J487,1,1)&amp;MID(J487,2,3)+1),CELL("address",AB487))</f>
        <v>$AB$487</v>
      </c>
      <c r="L487" s="135" t="str">
        <f ca="1">IF(J486&gt;=6,(MID(K487,1,1)&amp;MID(K487,2,3)+1),CELL("address",AC487))</f>
        <v>$AC$487</v>
      </c>
      <c r="M487" s="135" t="str">
        <f ca="1">IF(J486&gt;=7,(MID(L487,1,1)&amp;MID(L487,2,3)+1),CELL("address",AD487))</f>
        <v>$AD$487</v>
      </c>
      <c r="N487" s="135" t="str">
        <f ca="1">IF(J486&gt;=8,(MID(M487,1,1)&amp;MID(M487,2,3)+1),CELL("address",AE487))</f>
        <v>$AE$487</v>
      </c>
      <c r="O487" s="135" t="str">
        <f ca="1">IF(J486&gt;=9,(MID(N487,1,1)&amp;MID(N487,2,3)+1),CELL("address",AF487))</f>
        <v>$AF$487</v>
      </c>
      <c r="P487" s="135" t="str">
        <f ca="1">IF(J486&gt;=10,(MID(O487,1,1)&amp;MID(O487,2,3)+1),CELL("address",AG487))</f>
        <v>$AG$487</v>
      </c>
      <c r="Q487" s="135" t="str">
        <f ca="1">IF(J486&gt;=11,(MID(P487,1,1)&amp;MID(P487,2,3)+1),CELL("address",AH487))</f>
        <v>$AH$487</v>
      </c>
      <c r="R487" s="135" t="str">
        <f ca="1">IF(J486&gt;=12,(MID(Q487,1,1)&amp;MID(Q487,2,3)+1),CELL("address",AI487))</f>
        <v>$AI$487</v>
      </c>
    </row>
    <row r="488" spans="1:8" ht="15" customHeight="1">
      <c r="A488" s="274"/>
      <c r="B488" s="274"/>
      <c r="C488" s="277"/>
      <c r="D488" s="231" t="s">
        <v>207</v>
      </c>
      <c r="E488" s="73">
        <v>0.72</v>
      </c>
      <c r="F488" s="1" t="s">
        <v>408</v>
      </c>
      <c r="G488" s="126" t="str">
        <f>CONCATENATE(D488," - ",E488,", ")</f>
        <v>M.S. Nuts &amp; Bolts Scrap - 0.72, </v>
      </c>
      <c r="H488" s="139"/>
    </row>
    <row r="489" spans="1:8" ht="15" customHeight="1">
      <c r="A489" s="45"/>
      <c r="B489" s="47"/>
      <c r="C489" s="54"/>
      <c r="D489" s="47"/>
      <c r="E489" s="71"/>
      <c r="G489" s="126"/>
      <c r="H489" s="139"/>
    </row>
    <row r="490" spans="1:8" ht="15" customHeight="1">
      <c r="A490" s="60"/>
      <c r="B490" s="61"/>
      <c r="C490" s="61"/>
      <c r="D490" s="64"/>
      <c r="E490" s="59">
        <f>SUM(E492:E493)</f>
        <v>0.862</v>
      </c>
      <c r="G490" s="126"/>
      <c r="H490" s="139"/>
    </row>
    <row r="491" spans="1:18" ht="15" customHeight="1">
      <c r="A491" s="363" t="s">
        <v>5</v>
      </c>
      <c r="B491" s="363"/>
      <c r="C491" s="87" t="s">
        <v>17</v>
      </c>
      <c r="D491" s="256" t="s">
        <v>18</v>
      </c>
      <c r="E491" s="46" t="s">
        <v>7</v>
      </c>
      <c r="G491" s="128" t="str">
        <f>CONCATENATE("Misc. Iron Scrap, Lying at ",C492,". Quantity in MT - ")</f>
        <v>Misc. Iron Scrap, Lying at OL Bhagta Bhai Ka. Quantity in MT - </v>
      </c>
      <c r="H491" s="273" t="str">
        <f ca="1">CONCATENATE(G491,G492,(INDIRECT(I492)),(INDIRECT(J492)),(INDIRECT(K492)),(INDIRECT(L492)),(INDIRECT(M492)),(INDIRECT(N492)),(INDIRECT(O492)),(INDIRECT(P492)),(INDIRECT(Q492)),(INDIRECT(R492)),".")</f>
        <v>Misc. Iron Scrap, Lying at OL Bhagta Bhai Ka. Quantity in MT - MS iron scrap - 0.45, Transformer body scrap - 0.412, .</v>
      </c>
      <c r="I491" s="135" t="str">
        <f aca="true" ca="1" t="array" ref="I491">CELL("address",INDEX(G491:G590,MATCH(TRUE,ISBLANK(G491:G590),0)))</f>
        <v>$G$494</v>
      </c>
      <c r="J491" s="135">
        <f aca="true" t="array" ref="J491">MATCH(TRUE,ISBLANK(G491:G590),0)</f>
        <v>4</v>
      </c>
      <c r="K491" s="135">
        <f>J491-3</f>
        <v>1</v>
      </c>
      <c r="L491" s="135"/>
      <c r="M491" s="135"/>
      <c r="N491" s="135"/>
      <c r="O491" s="135"/>
      <c r="P491" s="135"/>
      <c r="Q491" s="135"/>
      <c r="R491" s="135"/>
    </row>
    <row r="492" spans="1:18" ht="15" customHeight="1">
      <c r="A492" s="274" t="s">
        <v>244</v>
      </c>
      <c r="B492" s="274"/>
      <c r="C492" s="277" t="s">
        <v>101</v>
      </c>
      <c r="D492" s="257" t="s">
        <v>29</v>
      </c>
      <c r="E492" s="261">
        <v>0.45</v>
      </c>
      <c r="F492" s="1" t="s">
        <v>408</v>
      </c>
      <c r="G492" s="126" t="str">
        <f>CONCATENATE(D492," - ",E492,", ")</f>
        <v>MS iron scrap - 0.45, </v>
      </c>
      <c r="H492" s="273"/>
      <c r="I492" s="135" t="str">
        <f ca="1">IF(J491&gt;=3,(MID(I491,2,1)&amp;MID(I491,4,3)-K491),CELL("address",Z492))</f>
        <v>G493</v>
      </c>
      <c r="J492" s="135" t="str">
        <f ca="1">IF(J491&gt;=4,(MID(I492,1,1)&amp;MID(I492,2,3)+1),CELL("address",AA492))</f>
        <v>G494</v>
      </c>
      <c r="K492" s="135" t="str">
        <f ca="1">IF(J491&gt;=5,(MID(J492,1,1)&amp;MID(J492,2,3)+1),CELL("address",AB492))</f>
        <v>$AB$492</v>
      </c>
      <c r="L492" s="135" t="str">
        <f ca="1">IF(J491&gt;=6,(MID(K492,1,1)&amp;MID(K492,2,3)+1),CELL("address",AC492))</f>
        <v>$AC$492</v>
      </c>
      <c r="M492" s="135" t="str">
        <f ca="1">IF(J491&gt;=7,(MID(L492,1,1)&amp;MID(L492,2,3)+1),CELL("address",AD492))</f>
        <v>$AD$492</v>
      </c>
      <c r="N492" s="135" t="str">
        <f ca="1">IF(J491&gt;=8,(MID(M492,1,1)&amp;MID(M492,2,3)+1),CELL("address",AE492))</f>
        <v>$AE$492</v>
      </c>
      <c r="O492" s="135" t="str">
        <f ca="1">IF(J491&gt;=9,(MID(N492,1,1)&amp;MID(N492,2,3)+1),CELL("address",AF492))</f>
        <v>$AF$492</v>
      </c>
      <c r="P492" s="135" t="str">
        <f ca="1">IF(J491&gt;=10,(MID(O492,1,1)&amp;MID(O492,2,3)+1),CELL("address",AG492))</f>
        <v>$AG$492</v>
      </c>
      <c r="Q492" s="135" t="str">
        <f ca="1">IF(J491&gt;=11,(MID(P492,1,1)&amp;MID(P492,2,3)+1),CELL("address",AH492))</f>
        <v>$AH$492</v>
      </c>
      <c r="R492" s="135" t="str">
        <f ca="1">IF(J491&gt;=12,(MID(Q492,1,1)&amp;MID(Q492,2,3)+1),CELL("address",AI492))</f>
        <v>$AI$492</v>
      </c>
    </row>
    <row r="493" spans="1:8" ht="15" customHeight="1">
      <c r="A493" s="274"/>
      <c r="B493" s="274"/>
      <c r="C493" s="277"/>
      <c r="D493" s="39" t="s">
        <v>61</v>
      </c>
      <c r="E493" s="261">
        <v>0.412</v>
      </c>
      <c r="F493" s="1" t="s">
        <v>408</v>
      </c>
      <c r="G493" s="126" t="str">
        <f>CONCATENATE(D493," - ",E493,", ")</f>
        <v>Transformer body scrap - 0.412, </v>
      </c>
      <c r="H493" s="139"/>
    </row>
    <row r="494" spans="1:8" ht="15" customHeight="1">
      <c r="A494" s="45"/>
      <c r="B494" s="47"/>
      <c r="C494" s="54"/>
      <c r="D494" s="265"/>
      <c r="E494" s="65"/>
      <c r="G494" s="126"/>
      <c r="H494" s="139"/>
    </row>
    <row r="495" spans="1:8" ht="15" customHeight="1">
      <c r="A495" s="60"/>
      <c r="B495" s="61"/>
      <c r="C495" s="61"/>
      <c r="D495" s="64"/>
      <c r="E495" s="59">
        <f>SUM(E497:E499)</f>
        <v>3.256</v>
      </c>
      <c r="G495" s="126"/>
      <c r="H495" s="139"/>
    </row>
    <row r="496" spans="1:18" ht="15" customHeight="1">
      <c r="A496" s="363" t="s">
        <v>5</v>
      </c>
      <c r="B496" s="363"/>
      <c r="C496" s="87" t="s">
        <v>17</v>
      </c>
      <c r="D496" s="256" t="s">
        <v>18</v>
      </c>
      <c r="E496" s="46" t="s">
        <v>7</v>
      </c>
      <c r="G496" s="128" t="str">
        <f>CONCATENATE("Misc. Iron Scrap, Lying at ",C497,". Quantity in MT - ")</f>
        <v>Misc. Iron Scrap, Lying at OL Shri Mukfsar Sahib. Quantity in MT - </v>
      </c>
      <c r="H496" s="273" t="str">
        <f ca="1">CONCATENATE(G496,G497,(INDIRECT(I497)),(INDIRECT(J497)),(INDIRECT(K497)),(INDIRECT(L497)),(INDIRECT(M497)),(INDIRECT(N497)),(INDIRECT(O497)),(INDIRECT(P497)),(INDIRECT(Q497)),(INDIRECT(R497)),".")</f>
        <v>Misc. Iron Scrap, Lying at OL Shri Mukfsar Sahib. Quantity in MT - MS iron scrap - 0.764, Transformer body scrap - 2.302, G.I. scrap - 0.19, .</v>
      </c>
      <c r="I496" s="135" t="str">
        <f aca="true" ca="1" t="array" ref="I496">CELL("address",INDEX(G496:G595,MATCH(TRUE,ISBLANK(G496:G595),0)))</f>
        <v>$G$500</v>
      </c>
      <c r="J496" s="135">
        <f aca="true" t="array" ref="J496">MATCH(TRUE,ISBLANK(G496:G595),0)</f>
        <v>5</v>
      </c>
      <c r="K496" s="135">
        <f>J496-3</f>
        <v>2</v>
      </c>
      <c r="L496" s="135"/>
      <c r="M496" s="135"/>
      <c r="N496" s="135"/>
      <c r="O496" s="135"/>
      <c r="P496" s="135"/>
      <c r="Q496" s="135"/>
      <c r="R496" s="135"/>
    </row>
    <row r="497" spans="1:18" ht="15" customHeight="1">
      <c r="A497" s="274" t="s">
        <v>438</v>
      </c>
      <c r="B497" s="274"/>
      <c r="C497" s="277" t="s">
        <v>421</v>
      </c>
      <c r="D497" s="233" t="s">
        <v>29</v>
      </c>
      <c r="E497" s="261">
        <v>0.764</v>
      </c>
      <c r="F497" s="1" t="s">
        <v>408</v>
      </c>
      <c r="G497" s="126" t="str">
        <f>CONCATENATE(D497," - ",E497,", ")</f>
        <v>MS iron scrap - 0.764, </v>
      </c>
      <c r="H497" s="273"/>
      <c r="I497" s="135" t="str">
        <f ca="1">IF(J496&gt;=3,(MID(I496,2,1)&amp;MID(I496,4,3)-K496),CELL("address",Z497))</f>
        <v>G498</v>
      </c>
      <c r="J497" s="135" t="str">
        <f ca="1">IF(J496&gt;=4,(MID(I497,1,1)&amp;MID(I497,2,3)+1),CELL("address",AA497))</f>
        <v>G499</v>
      </c>
      <c r="K497" s="135" t="str">
        <f ca="1">IF(J496&gt;=5,(MID(J497,1,1)&amp;MID(J497,2,3)+1),CELL("address",AB497))</f>
        <v>G500</v>
      </c>
      <c r="L497" s="135" t="str">
        <f ca="1">IF(J496&gt;=6,(MID(K497,1,1)&amp;MID(K497,2,3)+1),CELL("address",AC497))</f>
        <v>$AC$497</v>
      </c>
      <c r="M497" s="135" t="str">
        <f ca="1">IF(J496&gt;=7,(MID(L497,1,1)&amp;MID(L497,2,3)+1),CELL("address",AD497))</f>
        <v>$AD$497</v>
      </c>
      <c r="N497" s="135" t="str">
        <f ca="1">IF(J496&gt;=8,(MID(M497,1,1)&amp;MID(M497,2,3)+1),CELL("address",AE497))</f>
        <v>$AE$497</v>
      </c>
      <c r="O497" s="135" t="str">
        <f ca="1">IF(J496&gt;=9,(MID(N497,1,1)&amp;MID(N497,2,3)+1),CELL("address",AF497))</f>
        <v>$AF$497</v>
      </c>
      <c r="P497" s="135" t="str">
        <f ca="1">IF(J496&gt;=10,(MID(O497,1,1)&amp;MID(O497,2,3)+1),CELL("address",AG497))</f>
        <v>$AG$497</v>
      </c>
      <c r="Q497" s="135" t="str">
        <f ca="1">IF(J496&gt;=11,(MID(P497,1,1)&amp;MID(P497,2,3)+1),CELL("address",AH497))</f>
        <v>$AH$497</v>
      </c>
      <c r="R497" s="135" t="str">
        <f ca="1">IF(J496&gt;=12,(MID(Q497,1,1)&amp;MID(Q497,2,3)+1),CELL("address",AI497))</f>
        <v>$AI$497</v>
      </c>
    </row>
    <row r="498" spans="1:8" ht="15" customHeight="1">
      <c r="A498" s="274"/>
      <c r="B498" s="274"/>
      <c r="C498" s="277"/>
      <c r="D498" s="231" t="s">
        <v>61</v>
      </c>
      <c r="E498" s="261">
        <v>2.302</v>
      </c>
      <c r="F498" s="1" t="s">
        <v>408</v>
      </c>
      <c r="G498" s="126" t="str">
        <f>CONCATENATE(D498," - ",E498,", ")</f>
        <v>Transformer body scrap - 2.302, </v>
      </c>
      <c r="H498" s="139"/>
    </row>
    <row r="499" spans="1:8" ht="15" customHeight="1">
      <c r="A499" s="274"/>
      <c r="B499" s="274"/>
      <c r="C499" s="277"/>
      <c r="D499" s="231" t="s">
        <v>201</v>
      </c>
      <c r="E499" s="65">
        <v>0.19</v>
      </c>
      <c r="F499" s="1" t="s">
        <v>408</v>
      </c>
      <c r="G499" s="126" t="str">
        <f>CONCATENATE(D499," - ",E499,", ")</f>
        <v>G.I. scrap - 0.19, </v>
      </c>
      <c r="H499" s="139"/>
    </row>
    <row r="500" spans="1:8" ht="15" customHeight="1">
      <c r="A500" s="45"/>
      <c r="B500" s="47"/>
      <c r="C500" s="54"/>
      <c r="D500" s="265"/>
      <c r="E500" s="65"/>
      <c r="G500" s="130"/>
      <c r="H500" s="235"/>
    </row>
    <row r="501" spans="1:8" ht="15" customHeight="1">
      <c r="A501" s="60"/>
      <c r="B501" s="61"/>
      <c r="C501" s="61"/>
      <c r="D501" s="64"/>
      <c r="E501" s="59">
        <f>SUM(E503:E506)</f>
        <v>8.371</v>
      </c>
      <c r="G501" s="130"/>
      <c r="H501" s="235"/>
    </row>
    <row r="502" spans="1:18" ht="15" customHeight="1">
      <c r="A502" s="363" t="s">
        <v>5</v>
      </c>
      <c r="B502" s="363"/>
      <c r="C502" s="87" t="s">
        <v>17</v>
      </c>
      <c r="D502" s="256" t="s">
        <v>18</v>
      </c>
      <c r="E502" s="46" t="s">
        <v>7</v>
      </c>
      <c r="G502" s="128" t="str">
        <f>CONCATENATE("Misc. Iron Scrap, Lying at ",C503,". Quantity in MT - ")</f>
        <v>Misc. Iron Scrap, Lying at CS Pafiala. Quantity in MT - </v>
      </c>
      <c r="H502" s="273" t="str">
        <f ca="1">CONCATENATE(G502,G503,(INDIRECT(I503)),(INDIRECT(J503)),(INDIRECT(K503)),(INDIRECT(L503)),(INDIRECT(M503)),(INDIRECT(N503)),(INDIRECT(O503)),(INDIRECT(P503)),(INDIRECT(Q503)),(INDIRECT(R503)),".")</f>
        <v>Misc. Iron Scrap, Lying at CS Pafiala. Quantity in MT - MS iron scrap - 3.337, MS Rail scrap - 3.298, Transformer body scrap - 1.653, G.I. scrap - 0.083, .</v>
      </c>
      <c r="I502" s="135" t="str">
        <f aca="true" ca="1" t="array" ref="I502">CELL("address",INDEX(G502:G601,MATCH(TRUE,ISBLANK(G502:G601),0)))</f>
        <v>$G$507</v>
      </c>
      <c r="J502" s="135">
        <f aca="true" t="array" ref="J502">MATCH(TRUE,ISBLANK(G502:G601),0)</f>
        <v>6</v>
      </c>
      <c r="K502" s="135">
        <f>J502-3</f>
        <v>3</v>
      </c>
      <c r="L502" s="135"/>
      <c r="M502" s="135"/>
      <c r="N502" s="135"/>
      <c r="O502" s="135"/>
      <c r="P502" s="135"/>
      <c r="Q502" s="135"/>
      <c r="R502" s="135"/>
    </row>
    <row r="503" spans="1:18" ht="15" customHeight="1">
      <c r="A503" s="274" t="s">
        <v>439</v>
      </c>
      <c r="B503" s="274"/>
      <c r="C503" s="277" t="s">
        <v>437</v>
      </c>
      <c r="D503" s="233" t="s">
        <v>29</v>
      </c>
      <c r="E503" s="261">
        <v>3.337</v>
      </c>
      <c r="F503" s="1" t="s">
        <v>408</v>
      </c>
      <c r="G503" s="126" t="str">
        <f>CONCATENATE(D503," - ",E503,", ")</f>
        <v>MS iron scrap - 3.337, </v>
      </c>
      <c r="H503" s="273"/>
      <c r="I503" s="135" t="str">
        <f ca="1">IF(J502&gt;=3,(MID(I502,2,1)&amp;MID(I502,4,3)-K502),CELL("address",Z503))</f>
        <v>G504</v>
      </c>
      <c r="J503" s="135" t="str">
        <f ca="1">IF(J502&gt;=4,(MID(I503,1,1)&amp;MID(I503,2,3)+1),CELL("address",AA503))</f>
        <v>G505</v>
      </c>
      <c r="K503" s="135" t="str">
        <f ca="1">IF(J502&gt;=5,(MID(J503,1,1)&amp;MID(J503,2,3)+1),CELL("address",AB503))</f>
        <v>G506</v>
      </c>
      <c r="L503" s="135" t="str">
        <f ca="1">IF(J502&gt;=6,(MID(K503,1,1)&amp;MID(K503,2,3)+1),CELL("address",AC503))</f>
        <v>G507</v>
      </c>
      <c r="M503" s="135" t="str">
        <f ca="1">IF(J502&gt;=7,(MID(L503,1,1)&amp;MID(L503,2,3)+1),CELL("address",AD503))</f>
        <v>$AD$503</v>
      </c>
      <c r="N503" s="135" t="str">
        <f ca="1">IF(J502&gt;=8,(MID(M503,1,1)&amp;MID(M503,2,3)+1),CELL("address",AE503))</f>
        <v>$AE$503</v>
      </c>
      <c r="O503" s="135" t="str">
        <f ca="1">IF(J502&gt;=9,(MID(N503,1,1)&amp;MID(N503,2,3)+1),CELL("address",AF503))</f>
        <v>$AF$503</v>
      </c>
      <c r="P503" s="135" t="str">
        <f ca="1">IF(J502&gt;=10,(MID(O503,1,1)&amp;MID(O503,2,3)+1),CELL("address",AG503))</f>
        <v>$AG$503</v>
      </c>
      <c r="Q503" s="135" t="str">
        <f ca="1">IF(J502&gt;=11,(MID(P503,1,1)&amp;MID(P503,2,3)+1),CELL("address",AH503))</f>
        <v>$AH$503</v>
      </c>
      <c r="R503" s="135" t="str">
        <f ca="1">IF(J502&gt;=12,(MID(Q503,1,1)&amp;MID(Q503,2,3)+1),CELL("address",AI503))</f>
        <v>$AI$503</v>
      </c>
    </row>
    <row r="504" spans="1:8" ht="15" customHeight="1">
      <c r="A504" s="274"/>
      <c r="B504" s="274"/>
      <c r="C504" s="277"/>
      <c r="D504" s="233" t="s">
        <v>62</v>
      </c>
      <c r="E504" s="261">
        <v>3.298</v>
      </c>
      <c r="F504" s="1" t="s">
        <v>408</v>
      </c>
      <c r="G504" s="126" t="str">
        <f>CONCATENATE(D504," - ",E504,", ")</f>
        <v>MS Rail scrap - 3.298, </v>
      </c>
      <c r="H504" s="235"/>
    </row>
    <row r="505" spans="1:8" ht="15" customHeight="1">
      <c r="A505" s="274"/>
      <c r="B505" s="274"/>
      <c r="C505" s="277"/>
      <c r="D505" s="231" t="s">
        <v>61</v>
      </c>
      <c r="E505" s="65">
        <v>1.653</v>
      </c>
      <c r="F505" s="1" t="s">
        <v>408</v>
      </c>
      <c r="G505" s="126" t="str">
        <f>CONCATENATE(D505," - ",E505,", ")</f>
        <v>Transformer body scrap - 1.653, </v>
      </c>
      <c r="H505" s="235"/>
    </row>
    <row r="506" spans="1:8" ht="15" customHeight="1">
      <c r="A506" s="274"/>
      <c r="B506" s="274"/>
      <c r="C506" s="277"/>
      <c r="D506" s="231" t="s">
        <v>201</v>
      </c>
      <c r="E506" s="65">
        <v>0.083</v>
      </c>
      <c r="F506" s="1" t="s">
        <v>408</v>
      </c>
      <c r="G506" s="126" t="str">
        <f>CONCATENATE(D506," - ",E506,", ")</f>
        <v>G.I. scrap - 0.083, </v>
      </c>
      <c r="H506" s="235"/>
    </row>
    <row r="507" spans="1:8" ht="15" customHeight="1">
      <c r="A507" s="45"/>
      <c r="B507" s="47"/>
      <c r="C507" s="54"/>
      <c r="D507" s="265"/>
      <c r="E507" s="65"/>
      <c r="G507" s="130"/>
      <c r="H507" s="235"/>
    </row>
    <row r="508" spans="1:8" ht="15" customHeight="1">
      <c r="A508" s="60"/>
      <c r="B508" s="61"/>
      <c r="C508" s="61"/>
      <c r="D508" s="64"/>
      <c r="E508" s="59">
        <f>SUM(E510:E512)</f>
        <v>2.107</v>
      </c>
      <c r="G508" s="130"/>
      <c r="H508" s="235"/>
    </row>
    <row r="509" spans="1:18" ht="15" customHeight="1">
      <c r="A509" s="363" t="s">
        <v>5</v>
      </c>
      <c r="B509" s="363"/>
      <c r="C509" s="87" t="s">
        <v>17</v>
      </c>
      <c r="D509" s="256" t="s">
        <v>18</v>
      </c>
      <c r="E509" s="46" t="s">
        <v>7</v>
      </c>
      <c r="G509" s="128" t="str">
        <f>CONCATENATE("Misc. Iron Scrap, Lying at ",C510,". Quantity in MT - ")</f>
        <v>Misc. Iron Scrap, Lying at OL Nabha. Quantity in MT - </v>
      </c>
      <c r="H509" s="273" t="str">
        <f ca="1">CONCATENATE(G509,G510,(INDIRECT(I510)),(INDIRECT(J510)),(INDIRECT(K510)),(INDIRECT(L510)),(INDIRECT(M510)),(INDIRECT(N510)),(INDIRECT(O510)),(INDIRECT(P510)),(INDIRECT(Q510)),(INDIRECT(R510)),".")</f>
        <v>Misc. Iron Scrap, Lying at OL Nabha. Quantity in MT - MS iron scrap - 0.918, Transformer body scrap - 0.533, Teen Patra scrap - 0.656, .</v>
      </c>
      <c r="I509" s="135" t="str">
        <f aca="true" ca="1" t="array" ref="I509">CELL("address",INDEX(G509:G608,MATCH(TRUE,ISBLANK(G509:G608),0)))</f>
        <v>$G$513</v>
      </c>
      <c r="J509" s="135">
        <f aca="true" t="array" ref="J509">MATCH(TRUE,ISBLANK(G509:G608),0)</f>
        <v>5</v>
      </c>
      <c r="K509" s="135">
        <f>J509-3</f>
        <v>2</v>
      </c>
      <c r="L509" s="135"/>
      <c r="M509" s="135"/>
      <c r="N509" s="135"/>
      <c r="O509" s="135"/>
      <c r="P509" s="135"/>
      <c r="Q509" s="135"/>
      <c r="R509" s="135"/>
    </row>
    <row r="510" spans="1:18" ht="15" customHeight="1">
      <c r="A510" s="274" t="s">
        <v>440</v>
      </c>
      <c r="B510" s="274"/>
      <c r="C510" s="277" t="s">
        <v>106</v>
      </c>
      <c r="D510" s="233" t="s">
        <v>29</v>
      </c>
      <c r="E510" s="261">
        <v>0.918</v>
      </c>
      <c r="F510" s="1" t="s">
        <v>408</v>
      </c>
      <c r="G510" s="126" t="str">
        <f>CONCATENATE(D510," - ",E510,", ")</f>
        <v>MS iron scrap - 0.918, </v>
      </c>
      <c r="H510" s="273"/>
      <c r="I510" s="135" t="str">
        <f ca="1">IF(J509&gt;=3,(MID(I509,2,1)&amp;MID(I509,4,3)-K509),CELL("address",Z510))</f>
        <v>G511</v>
      </c>
      <c r="J510" s="135" t="str">
        <f ca="1">IF(J509&gt;=4,(MID(I510,1,1)&amp;MID(I510,2,3)+1),CELL("address",AA510))</f>
        <v>G512</v>
      </c>
      <c r="K510" s="135" t="str">
        <f ca="1">IF(J509&gt;=5,(MID(J510,1,1)&amp;MID(J510,2,3)+1),CELL("address",AB510))</f>
        <v>G513</v>
      </c>
      <c r="L510" s="135" t="str">
        <f ca="1">IF(J509&gt;=6,(MID(K510,1,1)&amp;MID(K510,2,3)+1),CELL("address",AC510))</f>
        <v>$AC$510</v>
      </c>
      <c r="M510" s="135" t="str">
        <f ca="1">IF(J509&gt;=7,(MID(L510,1,1)&amp;MID(L510,2,3)+1),CELL("address",AD510))</f>
        <v>$AD$510</v>
      </c>
      <c r="N510" s="135" t="str">
        <f ca="1">IF(J509&gt;=8,(MID(M510,1,1)&amp;MID(M510,2,3)+1),CELL("address",AE510))</f>
        <v>$AE$510</v>
      </c>
      <c r="O510" s="135" t="str">
        <f ca="1">IF(J509&gt;=9,(MID(N510,1,1)&amp;MID(N510,2,3)+1),CELL("address",AF510))</f>
        <v>$AF$510</v>
      </c>
      <c r="P510" s="135" t="str">
        <f ca="1">IF(J509&gt;=10,(MID(O510,1,1)&amp;MID(O510,2,3)+1),CELL("address",AG510))</f>
        <v>$AG$510</v>
      </c>
      <c r="Q510" s="135" t="str">
        <f ca="1">IF(J509&gt;=11,(MID(P510,1,1)&amp;MID(P510,2,3)+1),CELL("address",AH510))</f>
        <v>$AH$510</v>
      </c>
      <c r="R510" s="135" t="str">
        <f ca="1">IF(J509&gt;=12,(MID(Q510,1,1)&amp;MID(Q510,2,3)+1),CELL("address",AI510))</f>
        <v>$AI$510</v>
      </c>
    </row>
    <row r="511" spans="1:8" ht="15" customHeight="1">
      <c r="A511" s="274"/>
      <c r="B511" s="274"/>
      <c r="C511" s="277"/>
      <c r="D511" s="231" t="s">
        <v>61</v>
      </c>
      <c r="E511" s="65">
        <v>0.533</v>
      </c>
      <c r="F511" s="1" t="s">
        <v>408</v>
      </c>
      <c r="G511" s="126" t="str">
        <f>CONCATENATE(D511," - ",E511,", ")</f>
        <v>Transformer body scrap - 0.533, </v>
      </c>
      <c r="H511" s="235"/>
    </row>
    <row r="512" spans="1:8" ht="15" customHeight="1">
      <c r="A512" s="274"/>
      <c r="B512" s="274"/>
      <c r="C512" s="277"/>
      <c r="D512" s="39" t="s">
        <v>65</v>
      </c>
      <c r="E512" s="65">
        <v>0.656</v>
      </c>
      <c r="F512" s="1" t="s">
        <v>408</v>
      </c>
      <c r="G512" s="126" t="str">
        <f>CONCATENATE(D512," - ",E512,", ")</f>
        <v>Teen Patra scrap - 0.656, </v>
      </c>
      <c r="H512" s="235"/>
    </row>
    <row r="513" spans="1:8" ht="15" customHeight="1">
      <c r="A513" s="45"/>
      <c r="B513" s="47"/>
      <c r="C513" s="54"/>
      <c r="D513" s="265"/>
      <c r="E513" s="65"/>
      <c r="G513" s="130"/>
      <c r="H513" s="235"/>
    </row>
    <row r="514" spans="1:8" ht="15" customHeight="1">
      <c r="A514" s="60"/>
      <c r="B514" s="61"/>
      <c r="C514" s="61"/>
      <c r="D514" s="64"/>
      <c r="E514" s="59">
        <f>SUM(E516:E516)</f>
        <v>0.148</v>
      </c>
      <c r="G514" s="130"/>
      <c r="H514" s="235"/>
    </row>
    <row r="515" spans="1:18" ht="15" customHeight="1">
      <c r="A515" s="363" t="s">
        <v>5</v>
      </c>
      <c r="B515" s="363"/>
      <c r="C515" s="87" t="s">
        <v>17</v>
      </c>
      <c r="D515" s="256" t="s">
        <v>18</v>
      </c>
      <c r="E515" s="46" t="s">
        <v>7</v>
      </c>
      <c r="G515" s="128" t="str">
        <f>CONCATENATE("Misc. Iron Scrap, Lying at ",C516,". Quantity in MT - ")</f>
        <v>Misc. Iron Scrap, Lying at OL Rajpura. Quantity in MT - </v>
      </c>
      <c r="H515" s="273" t="str">
        <f ca="1">CONCATENATE(G515,G516,(INDIRECT(I516)),(INDIRECT(J516)),(INDIRECT(K516)),(INDIRECT(L516)),(INDIRECT(M516)),(INDIRECT(N516)),(INDIRECT(O516)),(INDIRECT(P516)),(INDIRECT(Q516)),(INDIRECT(R516)),".")</f>
        <v>Misc. Iron Scrap, Lying at OL Rajpura. Quantity in MT - MS iron scrap - 0.148, .</v>
      </c>
      <c r="I515" s="135" t="str">
        <f aca="true" ca="1" t="array" ref="I515">CELL("address",INDEX(G515:G614,MATCH(TRUE,ISBLANK(G515:G614),0)))</f>
        <v>$G$517</v>
      </c>
      <c r="J515" s="135">
        <f aca="true" t="array" ref="J515">MATCH(TRUE,ISBLANK(G515:G614),0)</f>
        <v>3</v>
      </c>
      <c r="K515" s="135">
        <f>J515-3</f>
        <v>0</v>
      </c>
      <c r="L515" s="135"/>
      <c r="M515" s="135"/>
      <c r="N515" s="135"/>
      <c r="O515" s="135"/>
      <c r="P515" s="135"/>
      <c r="Q515" s="135"/>
      <c r="R515" s="135"/>
    </row>
    <row r="516" spans="1:18" ht="15" customHeight="1">
      <c r="A516" s="274" t="s">
        <v>441</v>
      </c>
      <c r="B516" s="274"/>
      <c r="C516" s="256" t="s">
        <v>105</v>
      </c>
      <c r="D516" s="233" t="s">
        <v>29</v>
      </c>
      <c r="E516" s="261">
        <v>0.148</v>
      </c>
      <c r="F516" s="1" t="s">
        <v>408</v>
      </c>
      <c r="G516" s="126" t="str">
        <f>CONCATENATE(D516," - ",E516,", ")</f>
        <v>MS iron scrap - 0.148, </v>
      </c>
      <c r="H516" s="273"/>
      <c r="I516" s="135" t="str">
        <f ca="1">IF(J515&gt;=3,(MID(I515,2,1)&amp;MID(I515,4,3)-K515),CELL("address",Z516))</f>
        <v>G517</v>
      </c>
      <c r="J516" s="135" t="str">
        <f ca="1">IF(J515&gt;=4,(MID(I516,1,1)&amp;MID(I516,2,3)+1),CELL("address",AA516))</f>
        <v>$AA$516</v>
      </c>
      <c r="K516" s="135" t="str">
        <f ca="1">IF(J515&gt;=5,(MID(J516,1,1)&amp;MID(J516,2,3)+1),CELL("address",AB516))</f>
        <v>$AB$516</v>
      </c>
      <c r="L516" s="135" t="str">
        <f ca="1">IF(J515&gt;=6,(MID(K516,1,1)&amp;MID(K516,2,3)+1),CELL("address",AC516))</f>
        <v>$AC$516</v>
      </c>
      <c r="M516" s="135" t="str">
        <f ca="1">IF(J515&gt;=7,(MID(L516,1,1)&amp;MID(L516,2,3)+1),CELL("address",AD516))</f>
        <v>$AD$516</v>
      </c>
      <c r="N516" s="135" t="str">
        <f ca="1">IF(J515&gt;=8,(MID(M516,1,1)&amp;MID(M516,2,3)+1),CELL("address",AE516))</f>
        <v>$AE$516</v>
      </c>
      <c r="O516" s="135" t="str">
        <f ca="1">IF(J515&gt;=9,(MID(N516,1,1)&amp;MID(N516,2,3)+1),CELL("address",AF516))</f>
        <v>$AF$516</v>
      </c>
      <c r="P516" s="135" t="str">
        <f ca="1">IF(J515&gt;=10,(MID(O516,1,1)&amp;MID(O516,2,3)+1),CELL("address",AG516))</f>
        <v>$AG$516</v>
      </c>
      <c r="Q516" s="135" t="str">
        <f ca="1">IF(J515&gt;=11,(MID(P516,1,1)&amp;MID(P516,2,3)+1),CELL("address",AH516))</f>
        <v>$AH$516</v>
      </c>
      <c r="R516" s="135" t="str">
        <f ca="1">IF(J515&gt;=12,(MID(Q516,1,1)&amp;MID(Q516,2,3)+1),CELL("address",AI516))</f>
        <v>$AI$516</v>
      </c>
    </row>
    <row r="517" spans="1:8" ht="15" customHeight="1">
      <c r="A517" s="45"/>
      <c r="B517" s="47"/>
      <c r="C517" s="54"/>
      <c r="D517" s="265"/>
      <c r="E517" s="65"/>
      <c r="G517" s="130"/>
      <c r="H517" s="235"/>
    </row>
    <row r="518" spans="1:8" ht="18.75" customHeight="1">
      <c r="A518" s="364" t="s">
        <v>330</v>
      </c>
      <c r="B518" s="365"/>
      <c r="C518" s="365"/>
      <c r="D518" s="365"/>
      <c r="E518" s="366"/>
      <c r="H518" s="137"/>
    </row>
    <row r="519" spans="1:8" ht="15" customHeight="1">
      <c r="A519" s="302" t="s">
        <v>5</v>
      </c>
      <c r="B519" s="303"/>
      <c r="C519" s="302" t="s">
        <v>6</v>
      </c>
      <c r="D519" s="303"/>
      <c r="E519" s="256" t="s">
        <v>7</v>
      </c>
      <c r="G519" s="129"/>
      <c r="H519" s="142"/>
    </row>
    <row r="520" spans="1:8" ht="15" customHeight="1">
      <c r="A520" s="274" t="s">
        <v>126</v>
      </c>
      <c r="B520" s="274"/>
      <c r="C520" s="318" t="s">
        <v>114</v>
      </c>
      <c r="D520" s="318"/>
      <c r="E520" s="91">
        <v>1.293</v>
      </c>
      <c r="G520" s="130"/>
      <c r="H520" s="128" t="str">
        <f aca="true" t="shared" si="3" ref="H520:H533">CONCATENATE("Wooden scrap (without iron parts), Lying at ",C520,". Quantity in MT - ",E520,)</f>
        <v>Wooden scrap (without iron parts), Lying at OL Fazilka. Quantity in MT - 1.293</v>
      </c>
    </row>
    <row r="521" spans="1:8" ht="15" customHeight="1">
      <c r="A521" s="274" t="s">
        <v>129</v>
      </c>
      <c r="B521" s="274"/>
      <c r="C521" s="274" t="s">
        <v>96</v>
      </c>
      <c r="D521" s="274"/>
      <c r="E521" s="91">
        <v>0.159</v>
      </c>
      <c r="H521" s="128" t="str">
        <f t="shared" si="3"/>
        <v>Wooden scrap (without iron parts), Lying at CS Malout. Quantity in MT - 0.159</v>
      </c>
    </row>
    <row r="522" spans="1:8" ht="15" customHeight="1">
      <c r="A522" s="274" t="s">
        <v>130</v>
      </c>
      <c r="B522" s="274"/>
      <c r="C522" s="275" t="s">
        <v>162</v>
      </c>
      <c r="D522" s="275"/>
      <c r="E522" s="163">
        <v>4.57</v>
      </c>
      <c r="F522" s="1">
        <v>0.46</v>
      </c>
      <c r="H522" s="128" t="str">
        <f t="shared" si="3"/>
        <v>Wooden scrap (without iron parts), Lying at OL Shri Muktsar sahib. Quantity in MT - 4.57</v>
      </c>
    </row>
    <row r="523" spans="1:8" ht="15" customHeight="1">
      <c r="A523" s="274" t="s">
        <v>131</v>
      </c>
      <c r="B523" s="274"/>
      <c r="C523" s="275" t="s">
        <v>103</v>
      </c>
      <c r="D523" s="275"/>
      <c r="E523" s="261">
        <v>0.52</v>
      </c>
      <c r="F523" s="1">
        <v>0.41</v>
      </c>
      <c r="H523" s="128" t="str">
        <f t="shared" si="3"/>
        <v>Wooden scrap (without iron parts), Lying at OL Patran. Quantity in MT - 0.52</v>
      </c>
    </row>
    <row r="524" spans="1:8" ht="15" customHeight="1">
      <c r="A524" s="274" t="s">
        <v>132</v>
      </c>
      <c r="B524" s="274"/>
      <c r="C524" s="274" t="s">
        <v>43</v>
      </c>
      <c r="D524" s="274"/>
      <c r="E524" s="52">
        <v>0.97</v>
      </c>
      <c r="H524" s="128" t="str">
        <f t="shared" si="3"/>
        <v>Wooden scrap (without iron parts), Lying at CS Kotkapura. Quantity in MT - 0.97</v>
      </c>
    </row>
    <row r="525" spans="1:8" ht="15" customHeight="1">
      <c r="A525" s="274" t="s">
        <v>133</v>
      </c>
      <c r="B525" s="274"/>
      <c r="C525" s="290" t="s">
        <v>80</v>
      </c>
      <c r="D525" s="290"/>
      <c r="E525" s="261">
        <v>1.08</v>
      </c>
      <c r="F525" s="1" t="s">
        <v>408</v>
      </c>
      <c r="H525" s="128" t="str">
        <f t="shared" si="3"/>
        <v>Wooden scrap (without iron parts), Lying at CS Sangrur. Quantity in MT - 1.08</v>
      </c>
    </row>
    <row r="526" spans="1:8" ht="15" customHeight="1">
      <c r="A526" s="274" t="s">
        <v>139</v>
      </c>
      <c r="B526" s="274"/>
      <c r="C526" s="275" t="s">
        <v>198</v>
      </c>
      <c r="D526" s="275"/>
      <c r="E526" s="261">
        <v>1.01</v>
      </c>
      <c r="F526" s="1" t="s">
        <v>408</v>
      </c>
      <c r="H526" s="128" t="str">
        <f t="shared" si="3"/>
        <v>Wooden scrap (without iron parts), Lying at OL Barnala. Quantity in MT - 1.01</v>
      </c>
    </row>
    <row r="527" spans="1:8" ht="15" customHeight="1">
      <c r="A527" s="274" t="s">
        <v>140</v>
      </c>
      <c r="B527" s="274"/>
      <c r="C527" s="275" t="s">
        <v>128</v>
      </c>
      <c r="D527" s="275"/>
      <c r="E527" s="261">
        <v>0.805</v>
      </c>
      <c r="F527" s="1" t="s">
        <v>408</v>
      </c>
      <c r="H527" s="128" t="str">
        <f t="shared" si="3"/>
        <v>Wooden scrap (without iron parts), Lying at OL Malerkotla. Quantity in MT - 0.805</v>
      </c>
    </row>
    <row r="528" spans="1:8" ht="15" customHeight="1">
      <c r="A528" s="274" t="s">
        <v>141</v>
      </c>
      <c r="B528" s="274"/>
      <c r="C528" s="275" t="s">
        <v>101</v>
      </c>
      <c r="D528" s="275"/>
      <c r="E528" s="261">
        <v>0.112</v>
      </c>
      <c r="F528" s="1" t="s">
        <v>408</v>
      </c>
      <c r="H528" s="128" t="str">
        <f t="shared" si="3"/>
        <v>Wooden scrap (without iron parts), Lying at OL Bhagta Bhai Ka. Quantity in MT - 0.112</v>
      </c>
    </row>
    <row r="529" spans="1:8" ht="15" customHeight="1">
      <c r="A529" s="274" t="s">
        <v>142</v>
      </c>
      <c r="B529" s="274"/>
      <c r="C529" s="275" t="s">
        <v>60</v>
      </c>
      <c r="D529" s="275"/>
      <c r="E529" s="261">
        <v>0.4</v>
      </c>
      <c r="F529" s="1" t="s">
        <v>408</v>
      </c>
      <c r="H529" s="128" t="str">
        <f t="shared" si="3"/>
        <v>Wooden scrap (without iron parts), Lying at OL Mansa. Quantity in MT - 0.4</v>
      </c>
    </row>
    <row r="530" spans="1:8" ht="15" customHeight="1">
      <c r="A530" s="274" t="s">
        <v>146</v>
      </c>
      <c r="B530" s="274"/>
      <c r="C530" s="290" t="s">
        <v>64</v>
      </c>
      <c r="D530" s="290"/>
      <c r="E530" s="261">
        <v>9.886</v>
      </c>
      <c r="F530" s="1" t="s">
        <v>408</v>
      </c>
      <c r="H530" s="128" t="str">
        <f t="shared" si="3"/>
        <v>Wooden scrap (without iron parts), Lying at CS Bathinda. Quantity in MT - 9.886</v>
      </c>
    </row>
    <row r="531" spans="1:8" ht="15" customHeight="1">
      <c r="A531" s="274" t="s">
        <v>163</v>
      </c>
      <c r="B531" s="274"/>
      <c r="C531" s="290" t="s">
        <v>100</v>
      </c>
      <c r="D531" s="290"/>
      <c r="E531" s="261">
        <v>4.39</v>
      </c>
      <c r="F531" s="1" t="s">
        <v>408</v>
      </c>
      <c r="H531" s="128" t="str">
        <f t="shared" si="3"/>
        <v>Wooden scrap (without iron parts), Lying at CS Ferozepur. Quantity in MT - 4.39</v>
      </c>
    </row>
    <row r="532" spans="1:8" ht="15" customHeight="1">
      <c r="A532" s="274" t="s">
        <v>283</v>
      </c>
      <c r="B532" s="274"/>
      <c r="C532" s="290" t="s">
        <v>53</v>
      </c>
      <c r="D532" s="290"/>
      <c r="E532" s="261">
        <v>3.137</v>
      </c>
      <c r="F532" s="1" t="s">
        <v>408</v>
      </c>
      <c r="H532" s="128" t="str">
        <f t="shared" si="3"/>
        <v>Wooden scrap (without iron parts), Lying at CS Patiala. Quantity in MT - 3.137</v>
      </c>
    </row>
    <row r="533" spans="1:8" ht="15" customHeight="1" thickBot="1">
      <c r="A533" s="274" t="s">
        <v>449</v>
      </c>
      <c r="B533" s="274"/>
      <c r="C533" s="275" t="s">
        <v>99</v>
      </c>
      <c r="D533" s="276"/>
      <c r="E533" s="261">
        <v>0.303</v>
      </c>
      <c r="F533" s="1" t="s">
        <v>408</v>
      </c>
      <c r="H533" s="128" t="str">
        <f t="shared" si="3"/>
        <v>Wooden scrap (without iron parts), Lying at OL Ropar. Quantity in MT - 0.303</v>
      </c>
    </row>
    <row r="534" spans="1:8" ht="20.25" customHeight="1" thickBot="1">
      <c r="A534" s="357" t="s">
        <v>14</v>
      </c>
      <c r="B534" s="358"/>
      <c r="C534" s="266"/>
      <c r="D534" s="266"/>
      <c r="E534" s="59">
        <f>SUM(E520:E533)</f>
        <v>28.635</v>
      </c>
      <c r="H534" s="128"/>
    </row>
    <row r="535" spans="1:8" ht="15" customHeight="1">
      <c r="A535" s="22"/>
      <c r="B535" s="22"/>
      <c r="C535" s="17"/>
      <c r="D535" s="17"/>
      <c r="E535" s="16"/>
      <c r="H535" s="137"/>
    </row>
    <row r="536" spans="1:8" ht="15" customHeight="1">
      <c r="A536" s="335" t="s">
        <v>11</v>
      </c>
      <c r="B536" s="336"/>
      <c r="C536" s="336"/>
      <c r="D536" s="336"/>
      <c r="E536" s="337"/>
      <c r="H536" s="137"/>
    </row>
    <row r="537" spans="1:8" ht="15" customHeight="1">
      <c r="A537" s="18"/>
      <c r="B537" s="19"/>
      <c r="C537" s="19"/>
      <c r="D537" s="19"/>
      <c r="E537" s="20"/>
      <c r="H537" s="137"/>
    </row>
    <row r="538" spans="1:8" ht="15" customHeight="1">
      <c r="A538" s="354" t="s">
        <v>8</v>
      </c>
      <c r="B538" s="355"/>
      <c r="C538" s="355"/>
      <c r="D538" s="355"/>
      <c r="E538" s="356"/>
      <c r="H538" s="137"/>
    </row>
    <row r="539" spans="1:8" ht="15" customHeight="1">
      <c r="A539" s="46" t="s">
        <v>5</v>
      </c>
      <c r="B539" s="277" t="s">
        <v>17</v>
      </c>
      <c r="C539" s="277"/>
      <c r="D539" s="256" t="s">
        <v>18</v>
      </c>
      <c r="E539" s="46" t="s">
        <v>77</v>
      </c>
      <c r="H539" s="129"/>
    </row>
    <row r="540" spans="1:8" ht="15" customHeight="1">
      <c r="A540" s="46" t="s">
        <v>79</v>
      </c>
      <c r="B540" s="278" t="s">
        <v>110</v>
      </c>
      <c r="C540" s="278"/>
      <c r="D540" s="46" t="s">
        <v>78</v>
      </c>
      <c r="E540" s="67">
        <v>26</v>
      </c>
      <c r="H540" s="128" t="str">
        <f>CONCATENATE("CT/PT Units, Lying at ",B540,". Quantity in No - ",E540,)</f>
        <v>CT/PT Units, Lying at Central Store Kotkapura. Quantity in No - 26</v>
      </c>
    </row>
    <row r="541" spans="1:8" ht="15" customHeight="1">
      <c r="A541" s="45"/>
      <c r="B541" s="100"/>
      <c r="C541" s="100"/>
      <c r="D541" s="265"/>
      <c r="E541" s="75"/>
      <c r="H541" s="137"/>
    </row>
    <row r="542" spans="1:8" ht="15" customHeight="1">
      <c r="A542" s="46" t="s">
        <v>5</v>
      </c>
      <c r="B542" s="277" t="s">
        <v>17</v>
      </c>
      <c r="C542" s="277"/>
      <c r="D542" s="256" t="s">
        <v>18</v>
      </c>
      <c r="E542" s="46" t="s">
        <v>77</v>
      </c>
      <c r="H542" s="137"/>
    </row>
    <row r="543" spans="1:8" ht="15" customHeight="1">
      <c r="A543" s="46" t="s">
        <v>123</v>
      </c>
      <c r="B543" s="278" t="s">
        <v>165</v>
      </c>
      <c r="C543" s="278"/>
      <c r="D543" s="257" t="s">
        <v>78</v>
      </c>
      <c r="E543" s="236">
        <v>21</v>
      </c>
      <c r="F543" s="1">
        <v>20</v>
      </c>
      <c r="H543" s="128" t="str">
        <f>CONCATENATE("CT/PT Units, Lying at ",B543,". Quantity in No - ",E543,)</f>
        <v>CT/PT Units, Lying at Central Store Patiala. Quantity in No - 21</v>
      </c>
    </row>
    <row r="544" spans="1:8" ht="15" customHeight="1">
      <c r="A544" s="45"/>
      <c r="B544" s="108"/>
      <c r="C544" s="108"/>
      <c r="D544" s="47"/>
      <c r="E544" s="68"/>
      <c r="H544" s="137"/>
    </row>
    <row r="545" spans="1:8" ht="15" customHeight="1">
      <c r="A545" s="46" t="s">
        <v>5</v>
      </c>
      <c r="B545" s="277" t="s">
        <v>17</v>
      </c>
      <c r="C545" s="277"/>
      <c r="D545" s="256" t="s">
        <v>18</v>
      </c>
      <c r="E545" s="46" t="s">
        <v>77</v>
      </c>
      <c r="H545" s="137"/>
    </row>
    <row r="546" spans="1:8" ht="15" customHeight="1">
      <c r="A546" s="46" t="s">
        <v>205</v>
      </c>
      <c r="B546" s="278" t="s">
        <v>193</v>
      </c>
      <c r="C546" s="278"/>
      <c r="D546" s="257" t="s">
        <v>78</v>
      </c>
      <c r="E546" s="236">
        <v>39</v>
      </c>
      <c r="F546" s="1">
        <v>29</v>
      </c>
      <c r="H546" s="128" t="str">
        <f>CONCATENATE("CT/PT Units, Lying at ",B546,". Quantity in No - ",E546,)</f>
        <v>CT/PT Units, Lying at Outlet store Ropar. Quantity in No - 39</v>
      </c>
    </row>
    <row r="547" spans="1:8" ht="15" customHeight="1">
      <c r="A547" s="45"/>
      <c r="B547" s="108"/>
      <c r="C547" s="108"/>
      <c r="D547" s="265"/>
      <c r="E547" s="75"/>
      <c r="H547" s="137"/>
    </row>
    <row r="548" spans="1:8" ht="15" customHeight="1">
      <c r="A548" s="46" t="s">
        <v>5</v>
      </c>
      <c r="B548" s="277" t="s">
        <v>17</v>
      </c>
      <c r="C548" s="277"/>
      <c r="D548" s="256" t="s">
        <v>18</v>
      </c>
      <c r="E548" s="46" t="s">
        <v>77</v>
      </c>
      <c r="H548" s="137"/>
    </row>
    <row r="549" spans="1:8" ht="15" customHeight="1">
      <c r="A549" s="46" t="s">
        <v>214</v>
      </c>
      <c r="B549" s="278" t="s">
        <v>217</v>
      </c>
      <c r="C549" s="278"/>
      <c r="D549" s="46" t="s">
        <v>78</v>
      </c>
      <c r="E549" s="67">
        <v>37</v>
      </c>
      <c r="H549" s="128" t="str">
        <f>CONCATENATE("CT/PT Units, Lying at ",B549,". Quantity in No - ",E549,)</f>
        <v>CT/PT Units, Lying at Central Store Sangrur. Quantity in No - 37</v>
      </c>
    </row>
    <row r="550" spans="1:8" ht="15" customHeight="1">
      <c r="A550" s="45"/>
      <c r="B550" s="108"/>
      <c r="C550" s="108"/>
      <c r="D550" s="265"/>
      <c r="E550" s="75"/>
      <c r="H550" s="129"/>
    </row>
    <row r="551" spans="1:8" ht="15" customHeight="1">
      <c r="A551" s="46" t="s">
        <v>5</v>
      </c>
      <c r="B551" s="277" t="s">
        <v>17</v>
      </c>
      <c r="C551" s="277"/>
      <c r="D551" s="256" t="s">
        <v>18</v>
      </c>
      <c r="E551" s="46" t="s">
        <v>77</v>
      </c>
      <c r="H551" s="129"/>
    </row>
    <row r="552" spans="1:8" ht="15" customHeight="1">
      <c r="A552" s="46" t="s">
        <v>297</v>
      </c>
      <c r="B552" s="278" t="s">
        <v>346</v>
      </c>
      <c r="C552" s="278"/>
      <c r="D552" s="257" t="s">
        <v>78</v>
      </c>
      <c r="E552" s="236">
        <v>32</v>
      </c>
      <c r="F552" s="1">
        <v>25</v>
      </c>
      <c r="H552" s="128" t="str">
        <f>CONCATENATE("CT/PT Units, Lying at ",B552,". Quantity in No - ",E552,)</f>
        <v>CT/PT Units, Lying at Central Store Bathinda. Quantity in No - 32</v>
      </c>
    </row>
    <row r="553" spans="1:8" ht="15" customHeight="1">
      <c r="A553" s="45"/>
      <c r="B553" s="108"/>
      <c r="C553" s="108"/>
      <c r="D553" s="47"/>
      <c r="E553" s="68"/>
      <c r="H553" s="129"/>
    </row>
    <row r="554" spans="1:8" ht="15" customHeight="1">
      <c r="A554" s="46" t="s">
        <v>5</v>
      </c>
      <c r="B554" s="277" t="s">
        <v>17</v>
      </c>
      <c r="C554" s="277"/>
      <c r="D554" s="256" t="s">
        <v>18</v>
      </c>
      <c r="E554" s="46" t="s">
        <v>77</v>
      </c>
      <c r="H554" s="129"/>
    </row>
    <row r="555" spans="1:8" ht="15" customHeight="1">
      <c r="A555" s="46" t="s">
        <v>347</v>
      </c>
      <c r="B555" s="278" t="s">
        <v>110</v>
      </c>
      <c r="C555" s="278"/>
      <c r="D555" s="46" t="s">
        <v>298</v>
      </c>
      <c r="E555" s="67">
        <v>167</v>
      </c>
      <c r="H555" s="128" t="str">
        <f>CONCATENATE("Empty steel drums (cap 209 ltrs), Lying at ",B555,". Quantity in No - ",E555,)</f>
        <v>Empty steel drums (cap 209 ltrs), Lying at Central Store Kotkapura. Quantity in No - 167</v>
      </c>
    </row>
    <row r="556" spans="1:8" ht="15" customHeight="1">
      <c r="A556" s="45"/>
      <c r="B556" s="108"/>
      <c r="C556" s="108"/>
      <c r="D556" s="47"/>
      <c r="E556" s="68"/>
      <c r="H556" s="128"/>
    </row>
    <row r="557" spans="1:8" ht="15" customHeight="1">
      <c r="A557" s="46" t="s">
        <v>5</v>
      </c>
      <c r="B557" s="277" t="s">
        <v>17</v>
      </c>
      <c r="C557" s="277"/>
      <c r="D557" s="256" t="s">
        <v>18</v>
      </c>
      <c r="E557" s="46" t="s">
        <v>77</v>
      </c>
      <c r="H557" s="128"/>
    </row>
    <row r="558" spans="1:8" ht="15" customHeight="1">
      <c r="A558" s="46" t="s">
        <v>419</v>
      </c>
      <c r="B558" s="278" t="s">
        <v>418</v>
      </c>
      <c r="C558" s="278"/>
      <c r="D558" s="257" t="s">
        <v>298</v>
      </c>
      <c r="E558" s="236">
        <v>53</v>
      </c>
      <c r="F558" s="1" t="s">
        <v>408</v>
      </c>
      <c r="H558" s="128" t="str">
        <f>CONCATENATE("Empty steel drums (cap 209 ltrs), Lying at ",B558,". Quantity in No - ",E558,)</f>
        <v>Empty steel drums (cap 209 ltrs), Lying at Central Store Malout. Quantity in No - 53</v>
      </c>
    </row>
    <row r="559" spans="1:8" ht="15" customHeight="1">
      <c r="A559" s="45"/>
      <c r="B559" s="108"/>
      <c r="C559" s="108"/>
      <c r="D559" s="265"/>
      <c r="E559" s="75"/>
      <c r="H559" s="129"/>
    </row>
    <row r="560" spans="1:8" ht="15" customHeight="1">
      <c r="A560" s="46" t="s">
        <v>5</v>
      </c>
      <c r="B560" s="277" t="s">
        <v>17</v>
      </c>
      <c r="C560" s="277"/>
      <c r="D560" s="256" t="s">
        <v>18</v>
      </c>
      <c r="E560" s="46" t="s">
        <v>77</v>
      </c>
      <c r="H560" s="129"/>
    </row>
    <row r="561" spans="1:8" ht="15" customHeight="1">
      <c r="A561" s="46" t="s">
        <v>450</v>
      </c>
      <c r="B561" s="278" t="s">
        <v>193</v>
      </c>
      <c r="C561" s="278"/>
      <c r="D561" s="257" t="s">
        <v>298</v>
      </c>
      <c r="E561" s="236">
        <v>13</v>
      </c>
      <c r="F561" s="1" t="s">
        <v>255</v>
      </c>
      <c r="H561" s="128" t="str">
        <f>CONCATENATE("Empty steel drums (cap 209 ltrs), Lying at ",B561,". Quantity in No - ",E561,)</f>
        <v>Empty steel drums (cap 209 ltrs), Lying at Outlet store Ropar. Quantity in No - 13</v>
      </c>
    </row>
    <row r="562" spans="1:8" ht="15" customHeight="1">
      <c r="A562" s="45"/>
      <c r="B562" s="108"/>
      <c r="C562" s="108"/>
      <c r="D562" s="265"/>
      <c r="E562" s="75"/>
      <c r="H562" s="129"/>
    </row>
    <row r="563" spans="1:8" ht="15" customHeight="1">
      <c r="A563" s="315" t="s">
        <v>16</v>
      </c>
      <c r="B563" s="316"/>
      <c r="C563" s="316"/>
      <c r="D563" s="316"/>
      <c r="E563" s="317"/>
      <c r="H563" s="137"/>
    </row>
    <row r="564" spans="1:8" ht="15" customHeight="1">
      <c r="A564" s="23"/>
      <c r="B564" s="24"/>
      <c r="C564" s="24"/>
      <c r="D564" s="24"/>
      <c r="E564" s="25"/>
      <c r="H564" s="137"/>
    </row>
    <row r="565" spans="1:8" ht="15" customHeight="1">
      <c r="A565" s="304" t="s">
        <v>15</v>
      </c>
      <c r="B565" s="305"/>
      <c r="C565" s="305"/>
      <c r="D565" s="305"/>
      <c r="E565" s="306"/>
      <c r="H565" s="137"/>
    </row>
    <row r="566" spans="1:8" ht="15" customHeight="1">
      <c r="A566" s="268"/>
      <c r="B566" s="269"/>
      <c r="C566" s="269"/>
      <c r="D566" s="269"/>
      <c r="E566" s="270"/>
      <c r="H566" s="137"/>
    </row>
    <row r="567" spans="1:8" ht="15" customHeight="1">
      <c r="A567" s="348" t="s">
        <v>49</v>
      </c>
      <c r="B567" s="349"/>
      <c r="C567" s="349"/>
      <c r="D567" s="349"/>
      <c r="E567" s="350"/>
      <c r="H567" s="137"/>
    </row>
    <row r="568" spans="1:11" ht="38.25" customHeight="1">
      <c r="A568" s="15" t="s">
        <v>5</v>
      </c>
      <c r="B568" s="15" t="s">
        <v>1</v>
      </c>
      <c r="C568" s="15" t="s">
        <v>2</v>
      </c>
      <c r="D568" s="15" t="s">
        <v>3</v>
      </c>
      <c r="E568" s="15" t="s">
        <v>4</v>
      </c>
      <c r="G568" s="145"/>
      <c r="H568" s="144"/>
      <c r="I568" s="131"/>
      <c r="J568" s="131"/>
      <c r="K568" s="132"/>
    </row>
    <row r="569" spans="1:8" ht="25.5" customHeight="1">
      <c r="A569" s="12" t="s">
        <v>111</v>
      </c>
      <c r="B569" s="12" t="s">
        <v>89</v>
      </c>
      <c r="C569" s="12" t="s">
        <v>107</v>
      </c>
      <c r="D569" s="12" t="s">
        <v>90</v>
      </c>
      <c r="E569" s="28" t="s">
        <v>268</v>
      </c>
      <c r="G569" s="129"/>
      <c r="H569" s="140" t="str">
        <f>CONCATENATE("Condemned/obsolete Vehicles  (Without RC )--- ",B569," ",C569," ",E569," ",)</f>
        <v>Condemned/obsolete Vehicles  (Without RC )--- PB-11 AH-0925 HONDA CIVIC CAR (PETROL) 2008 …. CE/ TA &amp; I PSPCL PATIALA 96461-19587 </v>
      </c>
    </row>
    <row r="570" spans="1:8" ht="25.5" customHeight="1">
      <c r="A570" s="12" t="s">
        <v>153</v>
      </c>
      <c r="B570" s="27" t="s">
        <v>150</v>
      </c>
      <c r="C570" s="27" t="s">
        <v>151</v>
      </c>
      <c r="D570" s="27" t="s">
        <v>152</v>
      </c>
      <c r="E570" s="27" t="s">
        <v>269</v>
      </c>
      <c r="G570" s="129"/>
      <c r="H570" s="140" t="str">
        <f>CONCATENATE("Condemned/obsolete Vehicles  (Without RC )--- ",B570," ",C570," ",E570," ",)</f>
        <v>Condemned/obsolete Vehicles  (Without RC )--- PB-05 F-9520 MINI TRUCK EICHER DIESEL (1999) ….. DS S/D MAMDOT PSPCL FEROZEPUR MOB 9646114589 </v>
      </c>
    </row>
    <row r="571" spans="1:8" ht="25.5" customHeight="1">
      <c r="A571" s="12" t="s">
        <v>156</v>
      </c>
      <c r="B571" s="27" t="s">
        <v>157</v>
      </c>
      <c r="C571" s="27" t="s">
        <v>158</v>
      </c>
      <c r="D571" s="27" t="s">
        <v>159</v>
      </c>
      <c r="E571" s="27" t="s">
        <v>270</v>
      </c>
      <c r="G571" s="129"/>
      <c r="H571" s="140" t="str">
        <f>CONCATENATE("Condemned/obsolete Vehicles  (Without RC )--- ",B571," ",C571," ",E571," ",)</f>
        <v>Condemned/obsolete Vehicles  (Without RC )--- PB-03 N-5547 AMBASSADOR CAR DIESEL (2005) ….. DS DIVISION BADAL 96461-14534 </v>
      </c>
    </row>
    <row r="572" spans="1:8" ht="15" customHeight="1">
      <c r="A572" s="21"/>
      <c r="B572" s="26"/>
      <c r="C572" s="26"/>
      <c r="D572" s="21"/>
      <c r="E572" s="21"/>
      <c r="H572" s="137"/>
    </row>
    <row r="573" spans="1:8" ht="15" customHeight="1">
      <c r="A573" s="351" t="s">
        <v>50</v>
      </c>
      <c r="B573" s="352"/>
      <c r="C573" s="352"/>
      <c r="D573" s="352"/>
      <c r="E573" s="353"/>
      <c r="H573" s="137"/>
    </row>
    <row r="574" spans="1:8" ht="15" customHeight="1">
      <c r="A574" s="313" t="s">
        <v>108</v>
      </c>
      <c r="B574" s="314"/>
      <c r="C574" s="314"/>
      <c r="D574" s="314"/>
      <c r="E574" s="314"/>
      <c r="H574" s="137"/>
    </row>
    <row r="575" spans="1:8" ht="15" customHeight="1">
      <c r="A575" s="7"/>
      <c r="B575" s="8"/>
      <c r="C575" s="8"/>
      <c r="D575" s="8"/>
      <c r="E575" s="8"/>
      <c r="F575" s="176"/>
      <c r="G575" s="176"/>
      <c r="H575" s="137"/>
    </row>
    <row r="576" spans="1:8" ht="15" customHeight="1">
      <c r="A576" s="315" t="s">
        <v>25</v>
      </c>
      <c r="B576" s="316"/>
      <c r="C576" s="316"/>
      <c r="D576" s="316"/>
      <c r="E576" s="317"/>
      <c r="H576" s="137"/>
    </row>
    <row r="577" spans="1:8" ht="15" customHeight="1">
      <c r="A577" s="76"/>
      <c r="B577" s="76"/>
      <c r="C577" s="77"/>
      <c r="D577" s="77"/>
      <c r="E577" s="78">
        <f>SUM(E579:E582)</f>
        <v>4.129</v>
      </c>
      <c r="F577" s="176"/>
      <c r="H577" s="137"/>
    </row>
    <row r="578" spans="1:18" ht="15" customHeight="1">
      <c r="A578" s="293" t="s">
        <v>5</v>
      </c>
      <c r="B578" s="294"/>
      <c r="C578" s="79" t="s">
        <v>17</v>
      </c>
      <c r="D578" s="80" t="s">
        <v>18</v>
      </c>
      <c r="E578" s="79" t="s">
        <v>7</v>
      </c>
      <c r="F578" s="126"/>
      <c r="G578" s="128" t="str">
        <f>CONCATENATE("Misc. Healthy parts/ Non Ferrous  Scrap, Lying at ",C579,". Quantity in MT - ")</f>
        <v>Misc. Healthy parts/ Non Ferrous  Scrap, Lying at TRY Bathinda. Quantity in MT - </v>
      </c>
      <c r="H578" s="312" t="str">
        <f ca="1">CONCATENATE(G578,G579,(INDIRECT(I579)),(INDIRECT(J579)),(INDIRECT(K579)),(INDIRECT(L579)),(INDIRECT(M579)),(INDIRECT(N579)),(INDIRECT(O579)),(INDIRECT(P579)),(INDIRECT(Q579)),(INDIRECT(R579)),".")</f>
        <v>Misc. Healthy parts/ Non Ferrous  Scrap, Lying at TRY Bathinda. Quantity in MT - Brass scrap - 2.683, Misc. Aluminium scrap - 0.893, Burnt Cu scrap - 0.203, Nuts &amp; Bolts scrap - 0.35, .</v>
      </c>
      <c r="I578" s="135" t="str">
        <f aca="true" ca="1" t="array" ref="I578">CELL("address",INDEX(G578:G600,MATCH(TRUE,ISBLANK(G578:G600),0)))</f>
        <v>$G$583</v>
      </c>
      <c r="J578" s="135">
        <f aca="true" t="array" ref="J578">MATCH(TRUE,ISBLANK(G578:G600),0)</f>
        <v>6</v>
      </c>
      <c r="K578" s="135">
        <f>J578-3</f>
        <v>3</v>
      </c>
      <c r="L578" s="135"/>
      <c r="M578" s="135"/>
      <c r="N578" s="135"/>
      <c r="O578" s="135"/>
      <c r="P578" s="135"/>
      <c r="Q578" s="135"/>
      <c r="R578" s="135"/>
    </row>
    <row r="579" spans="1:18" ht="15" customHeight="1">
      <c r="A579" s="274" t="s">
        <v>34</v>
      </c>
      <c r="B579" s="274"/>
      <c r="C579" s="277" t="s">
        <v>36</v>
      </c>
      <c r="D579" s="46" t="s">
        <v>23</v>
      </c>
      <c r="E579" s="52">
        <v>2.683</v>
      </c>
      <c r="F579" s="126"/>
      <c r="G579" s="126" t="str">
        <f>CONCATENATE(D579," - ",E579,", ")</f>
        <v>Brass scrap - 2.683, </v>
      </c>
      <c r="H579" s="312"/>
      <c r="I579" s="135" t="str">
        <f ca="1">IF(J578&gt;=3,(MID(I578,2,1)&amp;MID(I578,4,4)-K578),CELL("address",Z579))</f>
        <v>G580</v>
      </c>
      <c r="J579" s="135" t="str">
        <f ca="1">IF(J578&gt;=4,(MID(I579,1,1)&amp;MID(I579,2,4)+1),CELL("address",AA579))</f>
        <v>G581</v>
      </c>
      <c r="K579" s="135" t="str">
        <f ca="1">IF(J578&gt;=5,(MID(J579,1,1)&amp;MID(J579,2,4)+1),CELL("address",AB579))</f>
        <v>G582</v>
      </c>
      <c r="L579" s="135" t="str">
        <f ca="1">IF(J578&gt;=6,(MID(K579,1,1)&amp;MID(K579,2,4)+1),CELL("address",AC579))</f>
        <v>G583</v>
      </c>
      <c r="M579" s="135" t="str">
        <f ca="1">IF(J578&gt;=7,(MID(L579,1,1)&amp;MID(L579,2,4)+1),CELL("address",AD579))</f>
        <v>$AD$579</v>
      </c>
      <c r="N579" s="135" t="str">
        <f ca="1">IF(J578&gt;=8,(MID(M579,1,1)&amp;MID(M579,2,4)+1),CELL("address",AE579))</f>
        <v>$AE$579</v>
      </c>
      <c r="O579" s="135" t="str">
        <f ca="1">IF(J578&gt;=9,(MID(N579,1,1)&amp;MID(N579,2,4)+1),CELL("address",AF579))</f>
        <v>$AF$579</v>
      </c>
      <c r="P579" s="135" t="str">
        <f ca="1">IF(J578&gt;=10,(MID(O579,1,1)&amp;MID(O579,2,4)+1),CELL("address",AG579))</f>
        <v>$AG$579</v>
      </c>
      <c r="Q579" s="135" t="str">
        <f ca="1">IF(J578&gt;=11,(MID(P579,1,1)&amp;MID(P579,2,4)+1),CELL("address",AH579))</f>
        <v>$AH$579</v>
      </c>
      <c r="R579" s="135" t="str">
        <f ca="1">IF(J578&gt;=12,(MID(Q579,1,1)&amp;MID(Q579,2,4)+1),CELL("address",AI579))</f>
        <v>$AI$579</v>
      </c>
    </row>
    <row r="580" spans="1:8" ht="15" customHeight="1">
      <c r="A580" s="274"/>
      <c r="B580" s="274"/>
      <c r="C580" s="277"/>
      <c r="D580" s="46" t="s">
        <v>24</v>
      </c>
      <c r="E580" s="52">
        <v>0.893</v>
      </c>
      <c r="F580" s="126"/>
      <c r="G580" s="126" t="str">
        <f>CONCATENATE(D580," - ",E580,", ")</f>
        <v>Misc. Aluminium scrap - 0.893, </v>
      </c>
      <c r="H580" s="139"/>
    </row>
    <row r="581" spans="1:8" ht="15" customHeight="1">
      <c r="A581" s="274"/>
      <c r="B581" s="274"/>
      <c r="C581" s="277"/>
      <c r="D581" s="46" t="s">
        <v>37</v>
      </c>
      <c r="E581" s="52">
        <v>0.203</v>
      </c>
      <c r="F581" s="126"/>
      <c r="G581" s="126" t="str">
        <f>CONCATENATE(D581," - ",E581,", ")</f>
        <v>Burnt Cu scrap - 0.203, </v>
      </c>
      <c r="H581" s="139"/>
    </row>
    <row r="582" spans="1:23" ht="15" customHeight="1">
      <c r="A582" s="274"/>
      <c r="B582" s="274"/>
      <c r="C582" s="277"/>
      <c r="D582" s="46" t="s">
        <v>59</v>
      </c>
      <c r="E582" s="52">
        <v>0.35</v>
      </c>
      <c r="F582" s="126"/>
      <c r="G582" s="126" t="str">
        <f>CONCATENATE(D582," - ",E582,", ")</f>
        <v>Nuts &amp; Bolts scrap - 0.35, </v>
      </c>
      <c r="H582" s="139"/>
      <c r="T582" s="359"/>
      <c r="U582" s="359"/>
      <c r="V582" s="359"/>
      <c r="W582" s="359"/>
    </row>
    <row r="583" spans="1:8" ht="15" customHeight="1">
      <c r="A583" s="293"/>
      <c r="B583" s="294"/>
      <c r="C583" s="256"/>
      <c r="D583" s="46"/>
      <c r="E583" s="52"/>
      <c r="F583" s="126"/>
      <c r="G583" s="126"/>
      <c r="H583" s="139"/>
    </row>
    <row r="584" spans="1:8" ht="17.25" customHeight="1">
      <c r="A584" s="279"/>
      <c r="B584" s="280"/>
      <c r="C584" s="82"/>
      <c r="D584" s="82"/>
      <c r="E584" s="83">
        <f>SUM(E586:E591)</f>
        <v>11.541</v>
      </c>
      <c r="F584" s="126"/>
      <c r="G584" s="126"/>
      <c r="H584" s="139"/>
    </row>
    <row r="585" spans="1:18" ht="17.25" customHeight="1">
      <c r="A585" s="281" t="s">
        <v>5</v>
      </c>
      <c r="B585" s="282"/>
      <c r="C585" s="79" t="s">
        <v>17</v>
      </c>
      <c r="D585" s="80" t="s">
        <v>18</v>
      </c>
      <c r="E585" s="79" t="s">
        <v>7</v>
      </c>
      <c r="F585" s="126"/>
      <c r="G585" s="128" t="str">
        <f>CONCATENATE("Misc. Healthy parts/ Non Ferrous  Scrap, Lying at ",C586,". Quantity in MT - ")</f>
        <v>Misc. Healthy parts/ Non Ferrous  Scrap, Lying at TRY Ferozepur. Quantity in MT - </v>
      </c>
      <c r="H585" s="312" t="str">
        <f ca="1">CONCATENATE(G585,G586,(INDIRECT(I586)),(INDIRECT(J586)),(INDIRECT(K586)),(INDIRECT(L586)),(INDIRECT(M586)),(INDIRECT(N586)),(INDIRECT(O586)),(INDIRECT(P586)),(INDIRECT(Q586)),(INDIRECT(R586)),".")</f>
        <v>Misc. Healthy parts/ Non Ferrous  Scrap, Lying at TRY Ferozepur. Quantity in MT - Brass scrap - 5.187, Misc. Aluminium scrap - 0.926, Iron scrap - 0.651, Burnt Cu scrap - 0.235, Nuts &amp; Bolts scrap - 4.092, Teen Patra scrap - 0.45, .</v>
      </c>
      <c r="I585" s="135" t="str">
        <f aca="true" ca="1" t="array" ref="I585">CELL("address",INDEX(G585:G607,MATCH(TRUE,ISBLANK(G585:G607),0)))</f>
        <v>$G$592</v>
      </c>
      <c r="J585" s="135">
        <f aca="true" t="array" ref="J585">MATCH(TRUE,ISBLANK(G585:G607),0)</f>
        <v>8</v>
      </c>
      <c r="K585" s="135">
        <f>J585-3</f>
        <v>5</v>
      </c>
      <c r="L585" s="135"/>
      <c r="M585" s="135"/>
      <c r="N585" s="135"/>
      <c r="O585" s="135"/>
      <c r="P585" s="135"/>
      <c r="Q585" s="135"/>
      <c r="R585" s="135"/>
    </row>
    <row r="586" spans="1:18" ht="17.25" customHeight="1">
      <c r="A586" s="274" t="s">
        <v>112</v>
      </c>
      <c r="B586" s="274"/>
      <c r="C586" s="277" t="s">
        <v>42</v>
      </c>
      <c r="D586" s="46" t="s">
        <v>23</v>
      </c>
      <c r="E586" s="52">
        <v>5.187</v>
      </c>
      <c r="F586" s="126"/>
      <c r="G586" s="126" t="str">
        <f aca="true" t="shared" si="4" ref="G586:G591">CONCATENATE(D586," - ",E586,", ")</f>
        <v>Brass scrap - 5.187, </v>
      </c>
      <c r="H586" s="312"/>
      <c r="I586" s="135" t="str">
        <f ca="1">IF(J585&gt;=3,(MID(I585,2,1)&amp;MID(I585,4,4)-K585),CELL("address",Z586))</f>
        <v>G587</v>
      </c>
      <c r="J586" s="135" t="str">
        <f ca="1">IF(J585&gt;=4,(MID(I586,1,1)&amp;MID(I586,2,4)+1),CELL("address",AA586))</f>
        <v>G588</v>
      </c>
      <c r="K586" s="135" t="str">
        <f ca="1">IF(J585&gt;=5,(MID(J586,1,1)&amp;MID(J586,2,4)+1),CELL("address",AB586))</f>
        <v>G589</v>
      </c>
      <c r="L586" s="135" t="str">
        <f ca="1">IF(J585&gt;=6,(MID(K586,1,1)&amp;MID(K586,2,4)+1),CELL("address",AC586))</f>
        <v>G590</v>
      </c>
      <c r="M586" s="135" t="str">
        <f ca="1">IF(J585&gt;=7,(MID(L586,1,1)&amp;MID(L586,2,4)+1),CELL("address",AD586))</f>
        <v>G591</v>
      </c>
      <c r="N586" s="135" t="str">
        <f ca="1">IF(J585&gt;=8,(MID(M586,1,1)&amp;MID(M586,2,4)+1),CELL("address",AE586))</f>
        <v>G592</v>
      </c>
      <c r="O586" s="135" t="str">
        <f ca="1">IF(J585&gt;=9,(MID(N586,1,1)&amp;MID(N586,2,4)+1),CELL("address",AF586))</f>
        <v>$AF$586</v>
      </c>
      <c r="P586" s="135" t="str">
        <f ca="1">IF(J585&gt;=10,(MID(O586,1,1)&amp;MID(O586,2,4)+1),CELL("address",AG586))</f>
        <v>$AG$586</v>
      </c>
      <c r="Q586" s="135" t="str">
        <f ca="1">IF(J585&gt;=11,(MID(P586,1,1)&amp;MID(P586,2,4)+1),CELL("address",AH586))</f>
        <v>$AH$586</v>
      </c>
      <c r="R586" s="135" t="str">
        <f ca="1">IF(J585&gt;=12,(MID(Q586,1,1)&amp;MID(Q586,2,4)+1),CELL("address",AI586))</f>
        <v>$AI$586</v>
      </c>
    </row>
    <row r="587" spans="1:8" ht="17.25" customHeight="1">
      <c r="A587" s="274"/>
      <c r="B587" s="274"/>
      <c r="C587" s="277"/>
      <c r="D587" s="46" t="s">
        <v>24</v>
      </c>
      <c r="E587" s="52">
        <v>0.926</v>
      </c>
      <c r="F587" s="126"/>
      <c r="G587" s="126" t="str">
        <f t="shared" si="4"/>
        <v>Misc. Aluminium scrap - 0.926, </v>
      </c>
      <c r="H587" s="139"/>
    </row>
    <row r="588" spans="1:8" ht="17.25" customHeight="1">
      <c r="A588" s="274"/>
      <c r="B588" s="274"/>
      <c r="C588" s="277"/>
      <c r="D588" s="46" t="s">
        <v>27</v>
      </c>
      <c r="E588" s="79">
        <v>0.651</v>
      </c>
      <c r="F588" s="126"/>
      <c r="G588" s="126" t="str">
        <f t="shared" si="4"/>
        <v>Iron scrap - 0.651, </v>
      </c>
      <c r="H588" s="139"/>
    </row>
    <row r="589" spans="1:8" ht="17.25" customHeight="1">
      <c r="A589" s="274"/>
      <c r="B589" s="274"/>
      <c r="C589" s="277"/>
      <c r="D589" s="46" t="s">
        <v>37</v>
      </c>
      <c r="E589" s="79">
        <v>0.235</v>
      </c>
      <c r="F589" s="126"/>
      <c r="G589" s="126" t="str">
        <f t="shared" si="4"/>
        <v>Burnt Cu scrap - 0.235, </v>
      </c>
      <c r="H589" s="139"/>
    </row>
    <row r="590" spans="1:8" ht="15" customHeight="1">
      <c r="A590" s="274"/>
      <c r="B590" s="274"/>
      <c r="C590" s="277"/>
      <c r="D590" s="46" t="s">
        <v>59</v>
      </c>
      <c r="E590" s="79">
        <v>4.092</v>
      </c>
      <c r="F590" s="126"/>
      <c r="G590" s="126" t="str">
        <f t="shared" si="4"/>
        <v>Nuts &amp; Bolts scrap - 4.092, </v>
      </c>
      <c r="H590" s="139"/>
    </row>
    <row r="591" spans="1:8" ht="15" customHeight="1">
      <c r="A591" s="274"/>
      <c r="B591" s="274"/>
      <c r="C591" s="277"/>
      <c r="D591" s="46" t="s">
        <v>65</v>
      </c>
      <c r="E591" s="81">
        <v>0.45</v>
      </c>
      <c r="F591" s="126"/>
      <c r="G591" s="126" t="str">
        <f t="shared" si="4"/>
        <v>Teen Patra scrap - 0.45, </v>
      </c>
      <c r="H591" s="139"/>
    </row>
    <row r="592" spans="1:8" ht="15" customHeight="1">
      <c r="A592" s="45"/>
      <c r="B592" s="48"/>
      <c r="C592" s="256"/>
      <c r="D592" s="46"/>
      <c r="E592" s="81"/>
      <c r="F592" s="126"/>
      <c r="G592" s="126"/>
      <c r="H592" s="139"/>
    </row>
    <row r="593" spans="1:8" ht="15" customHeight="1">
      <c r="A593" s="279"/>
      <c r="B593" s="280"/>
      <c r="C593" s="82"/>
      <c r="D593" s="82"/>
      <c r="E593" s="83">
        <f>SUM(E595:E599)</f>
        <v>3.672</v>
      </c>
      <c r="F593" s="126"/>
      <c r="G593" s="126"/>
      <c r="H593" s="139"/>
    </row>
    <row r="594" spans="1:18" ht="15" customHeight="1">
      <c r="A594" s="274" t="s">
        <v>5</v>
      </c>
      <c r="B594" s="274"/>
      <c r="C594" s="79" t="s">
        <v>17</v>
      </c>
      <c r="D594" s="80" t="s">
        <v>18</v>
      </c>
      <c r="E594" s="79" t="s">
        <v>7</v>
      </c>
      <c r="F594" s="126"/>
      <c r="G594" s="128" t="str">
        <f>CONCATENATE("Misc. Healthy parts/ Non Ferrous  Scrap, Lying at ",C595,". Quantity in MT - ")</f>
        <v>Misc. Healthy parts/ Non Ferrous  Scrap, Lying at OL store Ropar. Quantity in MT - </v>
      </c>
      <c r="H594" s="312" t="str">
        <f ca="1">CONCATENATE(G594,G595,(INDIRECT(I595)),(INDIRECT(J595)),(INDIRECT(K595)),(INDIRECT(L595)),(INDIRECT(M595)),(INDIRECT(N595)),(INDIRECT(O595)),(INDIRECT(P595)),(INDIRECT(Q595)),(INDIRECT(R595)),".")</f>
        <v>Misc. Healthy parts/ Non Ferrous  Scrap, Lying at OL store Ropar. Quantity in MT - Brass scrap - 2.473, Misc. Aluminium scrap - 0.346, Burnt Cu scrap - 0.298, All Alumn. Conductor Scrap - 0.317, Misc. Copper scrap - 0.238, .</v>
      </c>
      <c r="I594" s="135" t="str">
        <f aca="true" ca="1" t="array" ref="I594">CELL("address",INDEX(G594:G616,MATCH(TRUE,ISBLANK(G594:G616),0)))</f>
        <v>$G$600</v>
      </c>
      <c r="J594" s="135">
        <f aca="true" t="array" ref="J594">MATCH(TRUE,ISBLANK(G594:G616),0)</f>
        <v>7</v>
      </c>
      <c r="K594" s="135">
        <f>J594-3</f>
        <v>4</v>
      </c>
      <c r="L594" s="135"/>
      <c r="M594" s="135"/>
      <c r="N594" s="135"/>
      <c r="O594" s="135"/>
      <c r="P594" s="135"/>
      <c r="Q594" s="135"/>
      <c r="R594" s="135"/>
    </row>
    <row r="595" spans="1:18" ht="15" customHeight="1">
      <c r="A595" s="281" t="s">
        <v>26</v>
      </c>
      <c r="B595" s="282"/>
      <c r="C595" s="287" t="s">
        <v>46</v>
      </c>
      <c r="D595" s="46" t="s">
        <v>23</v>
      </c>
      <c r="E595" s="52">
        <v>2.473</v>
      </c>
      <c r="F595" s="126"/>
      <c r="G595" s="126" t="str">
        <f>CONCATENATE(D595," - ",E595,", ")</f>
        <v>Brass scrap - 2.473, </v>
      </c>
      <c r="H595" s="312"/>
      <c r="I595" s="135" t="str">
        <f ca="1">IF(J594&gt;=3,(MID(I594,2,1)&amp;MID(I594,4,4)-K594),CELL("address",Z595))</f>
        <v>G596</v>
      </c>
      <c r="J595" s="135" t="str">
        <f ca="1">IF(J594&gt;=4,(MID(I595,1,1)&amp;MID(I595,2,4)+1),CELL("address",AA595))</f>
        <v>G597</v>
      </c>
      <c r="K595" s="135" t="str">
        <f ca="1">IF(J594&gt;=5,(MID(J595,1,1)&amp;MID(J595,2,4)+1),CELL("address",AB595))</f>
        <v>G598</v>
      </c>
      <c r="L595" s="135" t="str">
        <f ca="1">IF(J594&gt;=6,(MID(K595,1,1)&amp;MID(K595,2,4)+1),CELL("address",AC595))</f>
        <v>G599</v>
      </c>
      <c r="M595" s="135" t="str">
        <f ca="1">IF(J594&gt;=7,(MID(L595,1,1)&amp;MID(L595,2,4)+1),CELL("address",AD595))</f>
        <v>G600</v>
      </c>
      <c r="N595" s="135" t="str">
        <f ca="1">IF(J594&gt;=8,(MID(M595,1,1)&amp;MID(M595,2,4)+1),CELL("address",AE595))</f>
        <v>$AE$595</v>
      </c>
      <c r="O595" s="135" t="str">
        <f ca="1">IF(J594&gt;=9,(MID(N595,1,1)&amp;MID(N595,2,4)+1),CELL("address",AF595))</f>
        <v>$AF$595</v>
      </c>
      <c r="P595" s="135" t="str">
        <f ca="1">IF(J594&gt;=10,(MID(O595,1,1)&amp;MID(O595,2,4)+1),CELL("address",AG595))</f>
        <v>$AG$595</v>
      </c>
      <c r="Q595" s="135" t="str">
        <f ca="1">IF(J594&gt;=11,(MID(P595,1,1)&amp;MID(P595,2,4)+1),CELL("address",AH595))</f>
        <v>$AH$595</v>
      </c>
      <c r="R595" s="135" t="str">
        <f ca="1">IF(J594&gt;=12,(MID(Q595,1,1)&amp;MID(Q595,2,4)+1),CELL("address",AI595))</f>
        <v>$AI$595</v>
      </c>
    </row>
    <row r="596" spans="1:8" ht="15" customHeight="1">
      <c r="A596" s="283"/>
      <c r="B596" s="284"/>
      <c r="C596" s="288"/>
      <c r="D596" s="46" t="s">
        <v>24</v>
      </c>
      <c r="E596" s="52">
        <v>0.346</v>
      </c>
      <c r="F596" s="126"/>
      <c r="G596" s="126" t="str">
        <f>CONCATENATE(D596," - ",E596,", ")</f>
        <v>Misc. Aluminium scrap - 0.346, </v>
      </c>
      <c r="H596" s="139"/>
    </row>
    <row r="597" spans="1:8" ht="15" customHeight="1">
      <c r="A597" s="283"/>
      <c r="B597" s="284"/>
      <c r="C597" s="288"/>
      <c r="D597" s="45" t="s">
        <v>37</v>
      </c>
      <c r="E597" s="52">
        <v>0.298</v>
      </c>
      <c r="F597" s="126"/>
      <c r="G597" s="126" t="str">
        <f>CONCATENATE(D597," - ",E597,", ")</f>
        <v>Burnt Cu scrap - 0.298, </v>
      </c>
      <c r="H597" s="139"/>
    </row>
    <row r="598" spans="1:8" ht="15" customHeight="1">
      <c r="A598" s="283"/>
      <c r="B598" s="284"/>
      <c r="C598" s="288"/>
      <c r="D598" s="51" t="s">
        <v>32</v>
      </c>
      <c r="E598" s="52">
        <v>0.317</v>
      </c>
      <c r="F598" s="126"/>
      <c r="G598" s="126" t="str">
        <f>CONCATENATE(D598," - ",E598,", ")</f>
        <v>All Alumn. Conductor Scrap - 0.317, </v>
      </c>
      <c r="H598" s="139"/>
    </row>
    <row r="599" spans="1:8" ht="15" customHeight="1">
      <c r="A599" s="285"/>
      <c r="B599" s="286"/>
      <c r="C599" s="289"/>
      <c r="D599" s="46" t="s">
        <v>45</v>
      </c>
      <c r="E599" s="52">
        <v>0.238</v>
      </c>
      <c r="F599" s="126"/>
      <c r="G599" s="126" t="str">
        <f>CONCATENATE(D599," - ",E599,", ")</f>
        <v>Misc. Copper scrap - 0.238, </v>
      </c>
      <c r="H599" s="139"/>
    </row>
    <row r="600" spans="1:8" ht="15" customHeight="1">
      <c r="A600" s="56"/>
      <c r="B600" s="72"/>
      <c r="C600" s="260"/>
      <c r="D600" s="46"/>
      <c r="E600" s="52"/>
      <c r="F600" s="126"/>
      <c r="G600" s="126"/>
      <c r="H600" s="139"/>
    </row>
    <row r="601" spans="1:8" ht="15" customHeight="1">
      <c r="A601" s="279"/>
      <c r="B601" s="280"/>
      <c r="C601" s="82"/>
      <c r="D601" s="82"/>
      <c r="E601" s="83">
        <f>SUM(E603:E604)</f>
        <v>2.408</v>
      </c>
      <c r="F601" s="126"/>
      <c r="G601" s="126"/>
      <c r="H601" s="139"/>
    </row>
    <row r="602" spans="1:18" ht="15" customHeight="1">
      <c r="A602" s="274" t="s">
        <v>5</v>
      </c>
      <c r="B602" s="274"/>
      <c r="C602" s="79" t="s">
        <v>17</v>
      </c>
      <c r="D602" s="80" t="s">
        <v>18</v>
      </c>
      <c r="E602" s="79" t="s">
        <v>7</v>
      </c>
      <c r="F602" s="126"/>
      <c r="G602" s="128" t="str">
        <f>CONCATENATE("Misc. Healthy parts/ Non Ferrous  Scrap, Lying at ",C603,". Quantity in MT - ")</f>
        <v>Misc. Healthy parts/ Non Ferrous  Scrap, Lying at TRY Ferozepur. Quantity in MT - </v>
      </c>
      <c r="H602" s="312" t="str">
        <f ca="1">CONCATENATE(G602,G603,(INDIRECT(I603)),(INDIRECT(J603)),(INDIRECT(K603)),(INDIRECT(L603)),(INDIRECT(M603)),(INDIRECT(N603)),(INDIRECT(O603)),(INDIRECT(P603)),(INDIRECT(Q603)),(INDIRECT(R603)),".")</f>
        <v>Misc. Healthy parts/ Non Ferrous  Scrap, Lying at TRY Ferozepur. Quantity in MT - Brass scrap - 2.09, Misc. Alumn. Scrap - 0.318, .</v>
      </c>
      <c r="I602" s="135" t="str">
        <f aca="true" ca="1" t="array" ref="I602">CELL("address",INDEX(G602:G624,MATCH(TRUE,ISBLANK(G602:G624),0)))</f>
        <v>$G$605</v>
      </c>
      <c r="J602" s="135">
        <f aca="true" t="array" ref="J602">MATCH(TRUE,ISBLANK(G602:G624),0)</f>
        <v>4</v>
      </c>
      <c r="K602" s="135">
        <f>J602-3</f>
        <v>1</v>
      </c>
      <c r="L602" s="135"/>
      <c r="M602" s="135"/>
      <c r="N602" s="135"/>
      <c r="O602" s="135"/>
      <c r="P602" s="135"/>
      <c r="Q602" s="135"/>
      <c r="R602" s="135"/>
    </row>
    <row r="603" spans="1:18" ht="15" customHeight="1">
      <c r="A603" s="274" t="s">
        <v>38</v>
      </c>
      <c r="B603" s="274"/>
      <c r="C603" s="277" t="s">
        <v>42</v>
      </c>
      <c r="D603" s="51" t="s">
        <v>23</v>
      </c>
      <c r="E603" s="53">
        <v>2.09</v>
      </c>
      <c r="F603" s="126"/>
      <c r="G603" s="126" t="str">
        <f>CONCATENATE(D603," - ",E603,", ")</f>
        <v>Brass scrap - 2.09, </v>
      </c>
      <c r="H603" s="312"/>
      <c r="I603" s="135" t="str">
        <f ca="1">IF(J602&gt;=3,(MID(I602,2,1)&amp;MID(I602,4,4)-K602),CELL("address",Z603))</f>
        <v>G604</v>
      </c>
      <c r="J603" s="135" t="str">
        <f ca="1">IF(J602&gt;=4,(MID(I603,1,1)&amp;MID(I603,2,4)+1),CELL("address",AA603))</f>
        <v>G605</v>
      </c>
      <c r="K603" s="135" t="str">
        <f ca="1">IF(J602&gt;=5,(MID(J603,1,1)&amp;MID(J603,2,4)+1),CELL("address",AB603))</f>
        <v>$AB$603</v>
      </c>
      <c r="L603" s="135" t="str">
        <f ca="1">IF(J602&gt;=6,(MID(K603,1,1)&amp;MID(K603,2,4)+1),CELL("address",AC603))</f>
        <v>$AC$603</v>
      </c>
      <c r="M603" s="135" t="str">
        <f ca="1">IF(J602&gt;=7,(MID(L603,1,1)&amp;MID(L603,2,4)+1),CELL("address",AD603))</f>
        <v>$AD$603</v>
      </c>
      <c r="N603" s="135" t="str">
        <f ca="1">IF(J602&gt;=8,(MID(M603,1,1)&amp;MID(M603,2,4)+1),CELL("address",AE603))</f>
        <v>$AE$603</v>
      </c>
      <c r="O603" s="135" t="str">
        <f ca="1">IF(J602&gt;=9,(MID(N603,1,1)&amp;MID(N603,2,4)+1),CELL("address",AF603))</f>
        <v>$AF$603</v>
      </c>
      <c r="P603" s="135" t="str">
        <f ca="1">IF(J602&gt;=10,(MID(O603,1,1)&amp;MID(O603,2,4)+1),CELL("address",AG603))</f>
        <v>$AG$603</v>
      </c>
      <c r="Q603" s="135" t="str">
        <f ca="1">IF(J602&gt;=11,(MID(P603,1,1)&amp;MID(P603,2,4)+1),CELL("address",AH603))</f>
        <v>$AH$603</v>
      </c>
      <c r="R603" s="135" t="str">
        <f ca="1">IF(J602&gt;=12,(MID(Q603,1,1)&amp;MID(Q603,2,4)+1),CELL("address",AI603))</f>
        <v>$AI$603</v>
      </c>
    </row>
    <row r="604" spans="1:8" ht="15" customHeight="1">
      <c r="A604" s="274"/>
      <c r="B604" s="274"/>
      <c r="C604" s="277"/>
      <c r="D604" s="51" t="s">
        <v>31</v>
      </c>
      <c r="E604" s="53">
        <v>0.318</v>
      </c>
      <c r="F604" s="126"/>
      <c r="G604" s="126" t="str">
        <f>CONCATENATE(D604," - ",E604,", ")</f>
        <v>Misc. Alumn. Scrap - 0.318, </v>
      </c>
      <c r="H604" s="139"/>
    </row>
    <row r="605" spans="1:8" ht="15" customHeight="1">
      <c r="A605" s="293"/>
      <c r="B605" s="294"/>
      <c r="C605" s="256"/>
      <c r="D605" s="51"/>
      <c r="E605" s="53"/>
      <c r="F605" s="126"/>
      <c r="G605" s="126"/>
      <c r="H605" s="139"/>
    </row>
    <row r="606" spans="1:8" ht="15" customHeight="1">
      <c r="A606" s="279"/>
      <c r="B606" s="280"/>
      <c r="C606" s="82"/>
      <c r="D606" s="82"/>
      <c r="E606" s="83">
        <f>SUM(E608:E611)</f>
        <v>4.728999999999999</v>
      </c>
      <c r="F606" s="126"/>
      <c r="G606" s="126"/>
      <c r="H606" s="139"/>
    </row>
    <row r="607" spans="1:18" ht="15" customHeight="1">
      <c r="A607" s="293" t="s">
        <v>5</v>
      </c>
      <c r="B607" s="294"/>
      <c r="C607" s="79" t="s">
        <v>17</v>
      </c>
      <c r="D607" s="80" t="s">
        <v>18</v>
      </c>
      <c r="E607" s="79" t="s">
        <v>7</v>
      </c>
      <c r="F607" s="126"/>
      <c r="G607" s="128" t="str">
        <f>CONCATENATE("Misc. Healthy parts/ Non Ferrous  Scrap, Lying at ",C608,". Quantity in MT - ")</f>
        <v>Misc. Healthy parts/ Non Ferrous  Scrap, Lying at TRY Malerkotla. Quantity in MT - </v>
      </c>
      <c r="H607" s="312" t="str">
        <f ca="1">CONCATENATE(G607,G608,(INDIRECT(I608)),(INDIRECT(J608)),(INDIRECT(K608)),(INDIRECT(L608)),(INDIRECT(M608)),(INDIRECT(N608)),(INDIRECT(O608)),(INDIRECT(P608)),(INDIRECT(Q608)),(INDIRECT(R608)),".")</f>
        <v>Misc. Healthy parts/ Non Ferrous  Scrap, Lying at TRY Malerkotla. Quantity in MT - Brass scrap - 4.114, Misc. Aluminium scrap - 0.183, Burnt Aluminium scrap - 0.287, Burnt Cu scrap - 0.145, .</v>
      </c>
      <c r="I607" s="135" t="str">
        <f aca="true" ca="1" t="array" ref="I607">CELL("address",INDEX(G607:G629,MATCH(TRUE,ISBLANK(G607:G629),0)))</f>
        <v>$G$612</v>
      </c>
      <c r="J607" s="135">
        <f aca="true" t="array" ref="J607">MATCH(TRUE,ISBLANK(G607:G629),0)</f>
        <v>6</v>
      </c>
      <c r="K607" s="135">
        <f>J607-3</f>
        <v>3</v>
      </c>
      <c r="L607" s="135"/>
      <c r="M607" s="135"/>
      <c r="N607" s="135"/>
      <c r="O607" s="135"/>
      <c r="P607" s="135"/>
      <c r="Q607" s="135"/>
      <c r="R607" s="135"/>
    </row>
    <row r="608" spans="1:18" ht="15" customHeight="1">
      <c r="A608" s="274" t="s">
        <v>48</v>
      </c>
      <c r="B608" s="274"/>
      <c r="C608" s="277" t="s">
        <v>28</v>
      </c>
      <c r="D608" s="46" t="s">
        <v>23</v>
      </c>
      <c r="E608" s="52">
        <v>4.114</v>
      </c>
      <c r="F608" s="126"/>
      <c r="G608" s="126" t="str">
        <f>CONCATENATE(D608," - ",E608,", ")</f>
        <v>Brass scrap - 4.114, </v>
      </c>
      <c r="H608" s="312"/>
      <c r="I608" s="135" t="str">
        <f ca="1">IF(J607&gt;=3,(MID(I607,2,1)&amp;MID(I607,4,4)-K607),CELL("address",Z608))</f>
        <v>G609</v>
      </c>
      <c r="J608" s="135" t="str">
        <f ca="1">IF(J607&gt;=4,(MID(I608,1,1)&amp;MID(I608,2,4)+1),CELL("address",AA608))</f>
        <v>G610</v>
      </c>
      <c r="K608" s="135" t="str">
        <f ca="1">IF(J607&gt;=5,(MID(J608,1,1)&amp;MID(J608,2,4)+1),CELL("address",AB608))</f>
        <v>G611</v>
      </c>
      <c r="L608" s="135" t="str">
        <f ca="1">IF(J607&gt;=6,(MID(K608,1,1)&amp;MID(K608,2,4)+1),CELL("address",AC608))</f>
        <v>G612</v>
      </c>
      <c r="M608" s="135" t="str">
        <f ca="1">IF(J607&gt;=7,(MID(L608,1,1)&amp;MID(L608,2,4)+1),CELL("address",AD608))</f>
        <v>$AD$608</v>
      </c>
      <c r="N608" s="135" t="str">
        <f ca="1">IF(J607&gt;=8,(MID(M608,1,1)&amp;MID(M608,2,4)+1),CELL("address",AE608))</f>
        <v>$AE$608</v>
      </c>
      <c r="O608" s="135" t="str">
        <f ca="1">IF(J607&gt;=9,(MID(N608,1,1)&amp;MID(N608,2,4)+1),CELL("address",AF608))</f>
        <v>$AF$608</v>
      </c>
      <c r="P608" s="135" t="str">
        <f ca="1">IF(J607&gt;=10,(MID(O608,1,1)&amp;MID(O608,2,4)+1),CELL("address",AG608))</f>
        <v>$AG$608</v>
      </c>
      <c r="Q608" s="135" t="str">
        <f ca="1">IF(J607&gt;=11,(MID(P608,1,1)&amp;MID(P608,2,4)+1),CELL("address",AH608))</f>
        <v>$AH$608</v>
      </c>
      <c r="R608" s="135" t="str">
        <f ca="1">IF(J607&gt;=12,(MID(Q608,1,1)&amp;MID(Q608,2,4)+1),CELL("address",AI608))</f>
        <v>$AI$608</v>
      </c>
    </row>
    <row r="609" spans="1:8" ht="18" customHeight="1">
      <c r="A609" s="274"/>
      <c r="B609" s="274"/>
      <c r="C609" s="277"/>
      <c r="D609" s="46" t="s">
        <v>24</v>
      </c>
      <c r="E609" s="52">
        <v>0.183</v>
      </c>
      <c r="F609" s="126"/>
      <c r="G609" s="126" t="str">
        <f>CONCATENATE(D609," - ",E609,", ")</f>
        <v>Misc. Aluminium scrap - 0.183, </v>
      </c>
      <c r="H609" s="139"/>
    </row>
    <row r="610" spans="1:8" ht="19.5" customHeight="1">
      <c r="A610" s="274"/>
      <c r="B610" s="274"/>
      <c r="C610" s="277"/>
      <c r="D610" s="46" t="s">
        <v>41</v>
      </c>
      <c r="E610" s="52">
        <v>0.287</v>
      </c>
      <c r="F610" s="126"/>
      <c r="G610" s="126" t="str">
        <f>CONCATENATE(D610," - ",E610,", ")</f>
        <v>Burnt Aluminium scrap - 0.287, </v>
      </c>
      <c r="H610" s="139"/>
    </row>
    <row r="611" spans="1:8" ht="15" customHeight="1">
      <c r="A611" s="274"/>
      <c r="B611" s="274"/>
      <c r="C611" s="277"/>
      <c r="D611" s="46" t="s">
        <v>37</v>
      </c>
      <c r="E611" s="79">
        <v>0.145</v>
      </c>
      <c r="F611" s="126"/>
      <c r="G611" s="126" t="str">
        <f>CONCATENATE(D611," - ",E611,", ")</f>
        <v>Burnt Cu scrap - 0.145, </v>
      </c>
      <c r="H611" s="139"/>
    </row>
    <row r="612" spans="1:8" ht="15" customHeight="1">
      <c r="A612" s="45"/>
      <c r="B612" s="48"/>
      <c r="C612" s="256"/>
      <c r="D612" s="46"/>
      <c r="E612" s="79"/>
      <c r="F612" s="126"/>
      <c r="G612" s="126"/>
      <c r="H612" s="139"/>
    </row>
    <row r="613" spans="1:8" ht="15" customHeight="1">
      <c r="A613" s="279"/>
      <c r="B613" s="280"/>
      <c r="C613" s="82"/>
      <c r="D613" s="82"/>
      <c r="E613" s="83">
        <f>SUM(E615:E618)</f>
        <v>0.418</v>
      </c>
      <c r="F613" s="126"/>
      <c r="G613" s="126"/>
      <c r="H613" s="139"/>
    </row>
    <row r="614" spans="1:18" ht="15" customHeight="1">
      <c r="A614" s="274" t="s">
        <v>5</v>
      </c>
      <c r="B614" s="274"/>
      <c r="C614" s="79" t="s">
        <v>17</v>
      </c>
      <c r="D614" s="80" t="s">
        <v>18</v>
      </c>
      <c r="E614" s="79" t="s">
        <v>7</v>
      </c>
      <c r="F614" s="126"/>
      <c r="G614" s="128" t="str">
        <f>CONCATENATE("Misc. Healthy parts/ Non Ferrous  Scrap, Lying at ",C615,". Quantity in MT - ")</f>
        <v>Misc. Healthy parts/ Non Ferrous  Scrap, Lying at CS Mohali. Quantity in MT - </v>
      </c>
      <c r="H614" s="312" t="str">
        <f ca="1">CONCATENATE(G614,G615,(INDIRECT(I615)),(INDIRECT(J615)),(INDIRECT(K615)),(INDIRECT(L615)),(INDIRECT(M615)),(INDIRECT(N615)),(INDIRECT(O615)),(INDIRECT(P615)),(INDIRECT(Q615)),(INDIRECT(R615)),".")</f>
        <v>Misc. Healthy parts/ Non Ferrous  Scrap, Lying at CS Mohali. Quantity in MT - Misc. Copper scrap - 0.313, Burnt Cu scrap - 0.041, All Alumn. Conductor Scrap - 0.054, Brass scrap - 0.01, .</v>
      </c>
      <c r="I614" s="135" t="str">
        <f aca="true" ca="1" t="array" ref="I614">CELL("address",INDEX(G614:G636,MATCH(TRUE,ISBLANK(G614:G636),0)))</f>
        <v>$G$619</v>
      </c>
      <c r="J614" s="135">
        <f aca="true" t="array" ref="J614">MATCH(TRUE,ISBLANK(G614:G636),0)</f>
        <v>6</v>
      </c>
      <c r="K614" s="135">
        <f>J614-3</f>
        <v>3</v>
      </c>
      <c r="L614" s="135"/>
      <c r="M614" s="135"/>
      <c r="N614" s="135"/>
      <c r="O614" s="135"/>
      <c r="P614" s="135"/>
      <c r="Q614" s="135"/>
      <c r="R614" s="135"/>
    </row>
    <row r="615" spans="1:18" ht="15" customHeight="1">
      <c r="A615" s="274" t="s">
        <v>39</v>
      </c>
      <c r="B615" s="274"/>
      <c r="C615" s="277" t="s">
        <v>63</v>
      </c>
      <c r="D615" s="46" t="s">
        <v>45</v>
      </c>
      <c r="E615" s="52">
        <v>0.313</v>
      </c>
      <c r="F615" s="126"/>
      <c r="G615" s="126" t="str">
        <f>CONCATENATE(D615," - ",E615,", ")</f>
        <v>Misc. Copper scrap - 0.313, </v>
      </c>
      <c r="H615" s="312"/>
      <c r="I615" s="135" t="str">
        <f ca="1">IF(J614&gt;=3,(MID(I614,2,1)&amp;MID(I614,4,4)-K614),CELL("address",Z615))</f>
        <v>G616</v>
      </c>
      <c r="J615" s="135" t="str">
        <f ca="1">IF(J614&gt;=4,(MID(I615,1,1)&amp;MID(I615,2,4)+1),CELL("address",AA615))</f>
        <v>G617</v>
      </c>
      <c r="K615" s="135" t="str">
        <f ca="1">IF(J614&gt;=5,(MID(J615,1,1)&amp;MID(J615,2,4)+1),CELL("address",AB615))</f>
        <v>G618</v>
      </c>
      <c r="L615" s="135" t="str">
        <f ca="1">IF(J614&gt;=6,(MID(K615,1,1)&amp;MID(K615,2,4)+1),CELL("address",AC615))</f>
        <v>G619</v>
      </c>
      <c r="M615" s="135" t="str">
        <f ca="1">IF(J614&gt;=7,(MID(L615,1,1)&amp;MID(L615,2,4)+1),CELL("address",AD615))</f>
        <v>$AD$615</v>
      </c>
      <c r="N615" s="135" t="str">
        <f ca="1">IF(J614&gt;=8,(MID(M615,1,1)&amp;MID(M615,2,4)+1),CELL("address",AE615))</f>
        <v>$AE$615</v>
      </c>
      <c r="O615" s="135" t="str">
        <f ca="1">IF(J614&gt;=9,(MID(N615,1,1)&amp;MID(N615,2,4)+1),CELL("address",AF615))</f>
        <v>$AF$615</v>
      </c>
      <c r="P615" s="135" t="str">
        <f ca="1">IF(J614&gt;=10,(MID(O615,1,1)&amp;MID(O615,2,4)+1),CELL("address",AG615))</f>
        <v>$AG$615</v>
      </c>
      <c r="Q615" s="135" t="str">
        <f ca="1">IF(J614&gt;=11,(MID(P615,1,1)&amp;MID(P615,2,4)+1),CELL("address",AH615))</f>
        <v>$AH$615</v>
      </c>
      <c r="R615" s="135" t="str">
        <f ca="1">IF(J614&gt;=12,(MID(Q615,1,1)&amp;MID(Q615,2,4)+1),CELL("address",AI615))</f>
        <v>$AI$615</v>
      </c>
    </row>
    <row r="616" spans="1:8" ht="15" customHeight="1">
      <c r="A616" s="274"/>
      <c r="B616" s="274"/>
      <c r="C616" s="277"/>
      <c r="D616" s="45" t="s">
        <v>37</v>
      </c>
      <c r="E616" s="52">
        <v>0.041</v>
      </c>
      <c r="F616" s="126"/>
      <c r="G616" s="126" t="str">
        <f>CONCATENATE(D616," - ",E616,", ")</f>
        <v>Burnt Cu scrap - 0.041, </v>
      </c>
      <c r="H616" s="139"/>
    </row>
    <row r="617" spans="1:8" ht="15" customHeight="1">
      <c r="A617" s="274"/>
      <c r="B617" s="274"/>
      <c r="C617" s="277"/>
      <c r="D617" s="51" t="s">
        <v>32</v>
      </c>
      <c r="E617" s="52">
        <v>0.054</v>
      </c>
      <c r="F617" s="126"/>
      <c r="G617" s="126" t="str">
        <f>CONCATENATE(D617," - ",E617,", ")</f>
        <v>All Alumn. Conductor Scrap - 0.054, </v>
      </c>
      <c r="H617" s="139"/>
    </row>
    <row r="618" spans="1:8" ht="15" customHeight="1">
      <c r="A618" s="274"/>
      <c r="B618" s="274"/>
      <c r="C618" s="277"/>
      <c r="D618" s="46" t="s">
        <v>23</v>
      </c>
      <c r="E618" s="52">
        <v>0.01</v>
      </c>
      <c r="F618" s="126"/>
      <c r="G618" s="126" t="str">
        <f>CONCATENATE(D618," - ",E618,", ")</f>
        <v>Brass scrap - 0.01, </v>
      </c>
      <c r="H618" s="139"/>
    </row>
    <row r="619" spans="1:8" ht="15" customHeight="1">
      <c r="A619" s="45"/>
      <c r="B619" s="48"/>
      <c r="C619" s="256"/>
      <c r="D619" s="46"/>
      <c r="E619" s="52"/>
      <c r="F619" s="126"/>
      <c r="G619" s="126"/>
      <c r="H619" s="139"/>
    </row>
    <row r="620" spans="1:8" ht="15" customHeight="1">
      <c r="A620" s="293"/>
      <c r="B620" s="294"/>
      <c r="C620" s="256"/>
      <c r="D620" s="46"/>
      <c r="E620" s="83">
        <f>E622</f>
        <v>0.089</v>
      </c>
      <c r="F620" s="126"/>
      <c r="G620" s="126"/>
      <c r="H620" s="139"/>
    </row>
    <row r="621" spans="1:18" ht="15" customHeight="1">
      <c r="A621" s="274" t="s">
        <v>5</v>
      </c>
      <c r="B621" s="274"/>
      <c r="C621" s="79" t="s">
        <v>17</v>
      </c>
      <c r="D621" s="80" t="s">
        <v>18</v>
      </c>
      <c r="E621" s="79" t="s">
        <v>7</v>
      </c>
      <c r="F621" s="126"/>
      <c r="G621" s="128" t="str">
        <f>CONCATENATE("Misc. Healthy parts/ Non Ferrous  Scrap, Lying at ",C622,". Quantity in MT - ")</f>
        <v>Misc. Healthy parts/ Non Ferrous  Scrap, Lying at OL store Nabha. Quantity in MT - </v>
      </c>
      <c r="H621" s="312" t="str">
        <f ca="1">CONCATENATE(G621,G622,(INDIRECT(I622)),(INDIRECT(J622)),(INDIRECT(K622)),(INDIRECT(L622)),(INDIRECT(M622)),(INDIRECT(N622)),(INDIRECT(O622)),(INDIRECT(P622)),(INDIRECT(Q622)),(INDIRECT(R622)),".")</f>
        <v>Misc. Healthy parts/ Non Ferrous  Scrap, Lying at OL store Nabha. Quantity in MT - Misc. Copper scrap - 0.089, .</v>
      </c>
      <c r="I621" s="135" t="str">
        <f aca="true" ca="1" t="array" ref="I621">CELL("address",INDEX(G621:G643,MATCH(TRUE,ISBLANK(G621:G643),0)))</f>
        <v>$G$623</v>
      </c>
      <c r="J621" s="135">
        <f aca="true" t="array" ref="J621">MATCH(TRUE,ISBLANK(G621:G643),0)</f>
        <v>3</v>
      </c>
      <c r="K621" s="135">
        <f>J621-3</f>
        <v>0</v>
      </c>
      <c r="L621" s="135"/>
      <c r="M621" s="135"/>
      <c r="N621" s="135"/>
      <c r="O621" s="135"/>
      <c r="P621" s="135"/>
      <c r="Q621" s="135"/>
      <c r="R621" s="135"/>
    </row>
    <row r="622" spans="1:18" ht="15" customHeight="1">
      <c r="A622" s="274" t="s">
        <v>40</v>
      </c>
      <c r="B622" s="274"/>
      <c r="C622" s="256" t="s">
        <v>104</v>
      </c>
      <c r="D622" s="46" t="s">
        <v>45</v>
      </c>
      <c r="E622" s="52">
        <v>0.089</v>
      </c>
      <c r="F622" s="126"/>
      <c r="G622" s="126" t="str">
        <f>CONCATENATE(D622," - ",E622,", ")</f>
        <v>Misc. Copper scrap - 0.089, </v>
      </c>
      <c r="H622" s="312"/>
      <c r="I622" s="135" t="str">
        <f ca="1">IF(J621&gt;=3,(MID(I621,2,1)&amp;MID(I621,4,4)-K621),CELL("address",Z622))</f>
        <v>G623</v>
      </c>
      <c r="J622" s="135" t="str">
        <f ca="1">IF(J621&gt;=4,(MID(I622,1,1)&amp;MID(I622,2,4)+1),CELL("address",AA622))</f>
        <v>$AA$622</v>
      </c>
      <c r="K622" s="135" t="str">
        <f ca="1">IF(J621&gt;=5,(MID(J622,1,1)&amp;MID(J622,2,4)+1),CELL("address",AB622))</f>
        <v>$AB$622</v>
      </c>
      <c r="L622" s="135" t="str">
        <f ca="1">IF(J621&gt;=6,(MID(K622,1,1)&amp;MID(K622,2,4)+1),CELL("address",AC622))</f>
        <v>$AC$622</v>
      </c>
      <c r="M622" s="135" t="str">
        <f ca="1">IF(J621&gt;=7,(MID(L622,1,1)&amp;MID(L622,2,4)+1),CELL("address",AD622))</f>
        <v>$AD$622</v>
      </c>
      <c r="N622" s="135" t="str">
        <f ca="1">IF(J621&gt;=8,(MID(M622,1,1)&amp;MID(M622,2,4)+1),CELL("address",AE622))</f>
        <v>$AE$622</v>
      </c>
      <c r="O622" s="135" t="str">
        <f ca="1">IF(J621&gt;=9,(MID(N622,1,1)&amp;MID(N622,2,4)+1),CELL("address",AF622))</f>
        <v>$AF$622</v>
      </c>
      <c r="P622" s="135" t="str">
        <f ca="1">IF(J621&gt;=10,(MID(O622,1,1)&amp;MID(O622,2,4)+1),CELL("address",AG622))</f>
        <v>$AG$622</v>
      </c>
      <c r="Q622" s="135" t="str">
        <f ca="1">IF(J621&gt;=11,(MID(P622,1,1)&amp;MID(P622,2,4)+1),CELL("address",AH622))</f>
        <v>$AH$622</v>
      </c>
      <c r="R622" s="135" t="str">
        <f ca="1">IF(J621&gt;=12,(MID(Q622,1,1)&amp;MID(Q622,2,4)+1),CELL("address",AI622))</f>
        <v>$AI$622</v>
      </c>
    </row>
    <row r="623" spans="1:8" ht="15" customHeight="1">
      <c r="A623" s="45"/>
      <c r="B623" s="48"/>
      <c r="C623" s="256"/>
      <c r="D623" s="46"/>
      <c r="E623" s="52"/>
      <c r="F623" s="126"/>
      <c r="G623" s="126"/>
      <c r="H623" s="139"/>
    </row>
    <row r="624" spans="1:8" ht="15" customHeight="1">
      <c r="A624" s="293"/>
      <c r="B624" s="294"/>
      <c r="C624" s="256"/>
      <c r="D624" s="46"/>
      <c r="E624" s="83">
        <f>E626</f>
        <v>0.092</v>
      </c>
      <c r="F624" s="126"/>
      <c r="G624" s="126"/>
      <c r="H624" s="139"/>
    </row>
    <row r="625" spans="1:18" ht="15" customHeight="1">
      <c r="A625" s="274" t="s">
        <v>5</v>
      </c>
      <c r="B625" s="274"/>
      <c r="C625" s="79" t="s">
        <v>17</v>
      </c>
      <c r="D625" s="80" t="s">
        <v>18</v>
      </c>
      <c r="E625" s="79" t="s">
        <v>7</v>
      </c>
      <c r="F625" s="126"/>
      <c r="G625" s="128" t="str">
        <f>CONCATENATE("Misc. Healthy parts/ Non Ferrous  Scrap, Lying at ",C626,". Quantity in MT - ")</f>
        <v>Misc. Healthy parts/ Non Ferrous  Scrap, Lying at OL store Patran. Quantity in MT - </v>
      </c>
      <c r="H625" s="312" t="str">
        <f ca="1">CONCATENATE(G625,G626,(INDIRECT(I626)),(INDIRECT(J626)),(INDIRECT(K626)),(INDIRECT(L626)),(INDIRECT(M626)),(INDIRECT(N626)),(INDIRECT(O626)),(INDIRECT(P626)),(INDIRECT(Q626)),(INDIRECT(R626)),".")</f>
        <v>Misc. Healthy parts/ Non Ferrous  Scrap, Lying at OL store Patran. Quantity in MT - Misc. Copper scrap - 0.092, .</v>
      </c>
      <c r="I625" s="135" t="str">
        <f aca="true" ca="1" t="array" ref="I625">CELL("address",INDEX(G625:G647,MATCH(TRUE,ISBLANK(G625:G647),0)))</f>
        <v>$G$627</v>
      </c>
      <c r="J625" s="135">
        <f aca="true" t="array" ref="J625">MATCH(TRUE,ISBLANK(G625:G647),0)</f>
        <v>3</v>
      </c>
      <c r="K625" s="135">
        <f>J625-3</f>
        <v>0</v>
      </c>
      <c r="L625" s="135"/>
      <c r="M625" s="135"/>
      <c r="N625" s="135"/>
      <c r="O625" s="135"/>
      <c r="P625" s="135"/>
      <c r="Q625" s="135"/>
      <c r="R625" s="135"/>
    </row>
    <row r="626" spans="1:18" ht="15" customHeight="1">
      <c r="A626" s="274" t="s">
        <v>81</v>
      </c>
      <c r="B626" s="274"/>
      <c r="C626" s="256" t="s">
        <v>102</v>
      </c>
      <c r="D626" s="46" t="s">
        <v>45</v>
      </c>
      <c r="E626" s="52">
        <v>0.092</v>
      </c>
      <c r="F626" s="126"/>
      <c r="G626" s="126" t="str">
        <f>CONCATENATE(D626," - ",E626,", ")</f>
        <v>Misc. Copper scrap - 0.092, </v>
      </c>
      <c r="H626" s="312"/>
      <c r="I626" s="135" t="str">
        <f ca="1">IF(J625&gt;=3,(MID(I625,2,1)&amp;MID(I625,4,4)-K625),CELL("address",Z626))</f>
        <v>G627</v>
      </c>
      <c r="J626" s="135" t="str">
        <f ca="1">IF(J625&gt;=4,(MID(I626,1,1)&amp;MID(I626,2,4)+1),CELL("address",AA626))</f>
        <v>$AA$626</v>
      </c>
      <c r="K626" s="135" t="str">
        <f ca="1">IF(J625&gt;=5,(MID(J626,1,1)&amp;MID(J626,2,4)+1),CELL("address",AB626))</f>
        <v>$AB$626</v>
      </c>
      <c r="L626" s="135" t="str">
        <f ca="1">IF(J625&gt;=6,(MID(K626,1,1)&amp;MID(K626,2,4)+1),CELL("address",AC626))</f>
        <v>$AC$626</v>
      </c>
      <c r="M626" s="135" t="str">
        <f ca="1">IF(J625&gt;=7,(MID(L626,1,1)&amp;MID(L626,2,4)+1),CELL("address",AD626))</f>
        <v>$AD$626</v>
      </c>
      <c r="N626" s="135" t="str">
        <f ca="1">IF(J625&gt;=8,(MID(M626,1,1)&amp;MID(M626,2,4)+1),CELL("address",AE626))</f>
        <v>$AE$626</v>
      </c>
      <c r="O626" s="135" t="str">
        <f ca="1">IF(J625&gt;=9,(MID(N626,1,1)&amp;MID(N626,2,4)+1),CELL("address",AF626))</f>
        <v>$AF$626</v>
      </c>
      <c r="P626" s="135" t="str">
        <f ca="1">IF(J625&gt;=10,(MID(O626,1,1)&amp;MID(O626,2,4)+1),CELL("address",AG626))</f>
        <v>$AG$626</v>
      </c>
      <c r="Q626" s="135" t="str">
        <f ca="1">IF(J625&gt;=11,(MID(P626,1,1)&amp;MID(P626,2,4)+1),CELL("address",AH626))</f>
        <v>$AH$626</v>
      </c>
      <c r="R626" s="135" t="str">
        <f ca="1">IF(J625&gt;=12,(MID(Q626,1,1)&amp;MID(Q626,2,4)+1),CELL("address",AI626))</f>
        <v>$AI$626</v>
      </c>
    </row>
    <row r="627" spans="1:8" ht="15" customHeight="1">
      <c r="A627" s="56"/>
      <c r="B627" s="72"/>
      <c r="C627" s="260"/>
      <c r="D627" s="46"/>
      <c r="E627" s="52"/>
      <c r="F627" s="126"/>
      <c r="G627" s="126"/>
      <c r="H627" s="139"/>
    </row>
    <row r="628" spans="1:8" ht="15" customHeight="1">
      <c r="A628" s="56"/>
      <c r="B628" s="72"/>
      <c r="C628" s="260"/>
      <c r="D628" s="51"/>
      <c r="E628" s="83">
        <f>SUM(E630:E632)</f>
        <v>0.341</v>
      </c>
      <c r="F628" s="126"/>
      <c r="G628" s="126"/>
      <c r="H628" s="139"/>
    </row>
    <row r="629" spans="1:18" ht="15" customHeight="1">
      <c r="A629" s="274" t="s">
        <v>5</v>
      </c>
      <c r="B629" s="274"/>
      <c r="C629" s="79" t="s">
        <v>17</v>
      </c>
      <c r="D629" s="80" t="s">
        <v>18</v>
      </c>
      <c r="E629" s="79" t="s">
        <v>7</v>
      </c>
      <c r="F629" s="126"/>
      <c r="G629" s="128" t="str">
        <f>CONCATENATE("Misc. Healthy parts/ Non Ferrous  Scrap, Lying at ",C630,". Quantity in MT - ")</f>
        <v>Misc. Healthy parts/ Non Ferrous  Scrap, Lying at CS Patiala. Quantity in MT - </v>
      </c>
      <c r="H629" s="312" t="str">
        <f ca="1">CONCATENATE(G629,G630,(INDIRECT(I630)),(INDIRECT(J630)),(INDIRECT(K630)),(INDIRECT(L630)),(INDIRECT(M630)),(INDIRECT(N630)),(INDIRECT(O630)),(INDIRECT(P630)),(INDIRECT(Q630)),(INDIRECT(R630)),".")</f>
        <v>Misc. Healthy parts/ Non Ferrous  Scrap, Lying at CS Patiala. Quantity in MT - Misc. Alumn. Scrap - 0.101, Misc. copper scrap - 0.218, Burnt copper scrap - 0.022, .</v>
      </c>
      <c r="I629" s="135" t="str">
        <f aca="true" ca="1" t="array" ref="I629">CELL("address",INDEX(G629:G651,MATCH(TRUE,ISBLANK(G629:G651),0)))</f>
        <v>$G$633</v>
      </c>
      <c r="J629" s="135">
        <f aca="true" t="array" ref="J629">MATCH(TRUE,ISBLANK(G629:G651),0)</f>
        <v>5</v>
      </c>
      <c r="K629" s="135">
        <f>J629-3</f>
        <v>2</v>
      </c>
      <c r="L629" s="135"/>
      <c r="M629" s="135"/>
      <c r="N629" s="135"/>
      <c r="O629" s="135"/>
      <c r="P629" s="135"/>
      <c r="Q629" s="135"/>
      <c r="R629" s="135"/>
    </row>
    <row r="630" spans="1:18" ht="15" customHeight="1">
      <c r="A630" s="281" t="s">
        <v>52</v>
      </c>
      <c r="B630" s="282"/>
      <c r="C630" s="287" t="s">
        <v>53</v>
      </c>
      <c r="D630" s="196" t="s">
        <v>31</v>
      </c>
      <c r="E630" s="55">
        <v>0.101</v>
      </c>
      <c r="F630" s="126">
        <v>0.063</v>
      </c>
      <c r="G630" s="126" t="str">
        <f>CONCATENATE(D630," - ",E630,", ")</f>
        <v>Misc. Alumn. Scrap - 0.101, </v>
      </c>
      <c r="H630" s="312"/>
      <c r="I630" s="135" t="str">
        <f ca="1">IF(J629&gt;=3,(MID(I629,2,1)&amp;MID(I629,4,4)-K629),CELL("address",Z630))</f>
        <v>G631</v>
      </c>
      <c r="J630" s="135" t="str">
        <f ca="1">IF(J629&gt;=4,(MID(I630,1,1)&amp;MID(I630,2,4)+1),CELL("address",AA630))</f>
        <v>G632</v>
      </c>
      <c r="K630" s="135" t="str">
        <f ca="1">IF(J629&gt;=5,(MID(J630,1,1)&amp;MID(J630,2,4)+1),CELL("address",AB630))</f>
        <v>G633</v>
      </c>
      <c r="L630" s="135" t="str">
        <f ca="1">IF(J629&gt;=6,(MID(K630,1,1)&amp;MID(K630,2,4)+1),CELL("address",AC630))</f>
        <v>$AC$630</v>
      </c>
      <c r="M630" s="135" t="str">
        <f ca="1">IF(J629&gt;=7,(MID(L630,1,1)&amp;MID(L630,2,4)+1),CELL("address",AD630))</f>
        <v>$AD$630</v>
      </c>
      <c r="N630" s="135" t="str">
        <f ca="1">IF(J629&gt;=8,(MID(M630,1,1)&amp;MID(M630,2,4)+1),CELL("address",AE630))</f>
        <v>$AE$630</v>
      </c>
      <c r="O630" s="135" t="str">
        <f ca="1">IF(J629&gt;=9,(MID(N630,1,1)&amp;MID(N630,2,4)+1),CELL("address",AF630))</f>
        <v>$AF$630</v>
      </c>
      <c r="P630" s="135" t="str">
        <f ca="1">IF(J629&gt;=10,(MID(O630,1,1)&amp;MID(O630,2,4)+1),CELL("address",AG630))</f>
        <v>$AG$630</v>
      </c>
      <c r="Q630" s="135" t="str">
        <f ca="1">IF(J629&gt;=11,(MID(P630,1,1)&amp;MID(P630,2,4)+1),CELL("address",AH630))</f>
        <v>$AH$630</v>
      </c>
      <c r="R630" s="135" t="str">
        <f ca="1">IF(J629&gt;=12,(MID(Q630,1,1)&amp;MID(Q630,2,4)+1),CELL("address",AI630))</f>
        <v>$AI$630</v>
      </c>
    </row>
    <row r="631" spans="1:8" ht="15" customHeight="1">
      <c r="A631" s="283"/>
      <c r="B631" s="284"/>
      <c r="C631" s="288"/>
      <c r="D631" s="74" t="s">
        <v>113</v>
      </c>
      <c r="E631" s="79">
        <v>0.218</v>
      </c>
      <c r="F631" s="126"/>
      <c r="G631" s="126" t="str">
        <f>CONCATENATE(D631," - ",E631,", ")</f>
        <v>Misc. copper scrap - 0.218, </v>
      </c>
      <c r="H631" s="139"/>
    </row>
    <row r="632" spans="1:8" ht="15" customHeight="1">
      <c r="A632" s="285"/>
      <c r="B632" s="286"/>
      <c r="C632" s="289"/>
      <c r="D632" s="74" t="s">
        <v>47</v>
      </c>
      <c r="E632" s="79">
        <v>0.022</v>
      </c>
      <c r="F632" s="126"/>
      <c r="G632" s="126" t="str">
        <f>CONCATENATE(D632," - ",E632,", ")</f>
        <v>Burnt copper scrap - 0.022, </v>
      </c>
      <c r="H632" s="139"/>
    </row>
    <row r="633" spans="1:8" ht="15" customHeight="1">
      <c r="A633" s="293"/>
      <c r="B633" s="294"/>
      <c r="C633" s="256"/>
      <c r="D633" s="74"/>
      <c r="E633" s="79"/>
      <c r="F633" s="126"/>
      <c r="G633" s="126"/>
      <c r="H633" s="139"/>
    </row>
    <row r="634" spans="1:8" ht="15" customHeight="1">
      <c r="A634" s="279"/>
      <c r="B634" s="280"/>
      <c r="C634" s="82"/>
      <c r="D634" s="82"/>
      <c r="E634" s="83">
        <f>SUM(E636:E640)</f>
        <v>4.696000000000001</v>
      </c>
      <c r="F634" s="126"/>
      <c r="G634" s="126"/>
      <c r="H634" s="139"/>
    </row>
    <row r="635" spans="1:18" ht="15" customHeight="1">
      <c r="A635" s="281" t="s">
        <v>5</v>
      </c>
      <c r="B635" s="282"/>
      <c r="C635" s="79" t="s">
        <v>17</v>
      </c>
      <c r="D635" s="80" t="s">
        <v>18</v>
      </c>
      <c r="E635" s="84" t="s">
        <v>7</v>
      </c>
      <c r="F635" s="126"/>
      <c r="G635" s="128" t="str">
        <f>CONCATENATE("Misc. Healthy parts/ Non Ferrous  Scrap, Lying at ",C636,". Quantity in MT - ")</f>
        <v>Misc. Healthy parts/ Non Ferrous  Scrap, Lying at CS Kotkapura. Quantity in MT - </v>
      </c>
      <c r="H635" s="312" t="str">
        <f ca="1">CONCATENATE(G635,G636,(INDIRECT(I636)),(INDIRECT(J636)),(INDIRECT(K636)),(INDIRECT(L636)),(INDIRECT(M636)),(INDIRECT(N636)),(INDIRECT(O636)),(INDIRECT(P636)),(INDIRECT(Q636)),(INDIRECT(R636)),".")</f>
        <v>Misc. Healthy parts/ Non Ferrous  Scrap, Lying at CS Kotkapura. Quantity in MT - Brass scrap - 4.046, Misc. Copper scrap - 0.065, Burnt Cu scrap - 0.325, Misc. Aluminium scrap - 0.205, Burnt Aluminium scrap - 0.055, .</v>
      </c>
      <c r="I635" s="135" t="str">
        <f aca="true" ca="1" t="array" ref="I635">CELL("address",INDEX(G635:G657,MATCH(TRUE,ISBLANK(G635:G657),0)))</f>
        <v>$G$641</v>
      </c>
      <c r="J635" s="135">
        <f aca="true" t="array" ref="J635">MATCH(TRUE,ISBLANK(G635:G657),0)</f>
        <v>7</v>
      </c>
      <c r="K635" s="135">
        <f>J635-3</f>
        <v>4</v>
      </c>
      <c r="L635" s="135"/>
      <c r="M635" s="135"/>
      <c r="N635" s="135"/>
      <c r="O635" s="135"/>
      <c r="P635" s="135"/>
      <c r="Q635" s="135"/>
      <c r="R635" s="135"/>
    </row>
    <row r="636" spans="1:18" ht="15" customHeight="1">
      <c r="A636" s="281" t="s">
        <v>44</v>
      </c>
      <c r="B636" s="282"/>
      <c r="C636" s="287" t="s">
        <v>43</v>
      </c>
      <c r="D636" s="46" t="s">
        <v>23</v>
      </c>
      <c r="E636" s="85">
        <v>4.046</v>
      </c>
      <c r="F636" s="126"/>
      <c r="G636" s="126" t="str">
        <f>CONCATENATE(D636," - ",E636,", ")</f>
        <v>Brass scrap - 4.046, </v>
      </c>
      <c r="H636" s="312"/>
      <c r="I636" s="135" t="str">
        <f ca="1">IF(J635&gt;=3,(MID(I635,2,1)&amp;MID(I635,4,4)-K635),CELL("address",Z636))</f>
        <v>G637</v>
      </c>
      <c r="J636" s="135" t="str">
        <f ca="1">IF(J635&gt;=4,(MID(I636,1,1)&amp;MID(I636,2,4)+1),CELL("address",AA636))</f>
        <v>G638</v>
      </c>
      <c r="K636" s="135" t="str">
        <f ca="1">IF(J635&gt;=5,(MID(J636,1,1)&amp;MID(J636,2,4)+1),CELL("address",AB636))</f>
        <v>G639</v>
      </c>
      <c r="L636" s="135" t="str">
        <f ca="1">IF(J635&gt;=6,(MID(K636,1,1)&amp;MID(K636,2,4)+1),CELL("address",AC636))</f>
        <v>G640</v>
      </c>
      <c r="M636" s="135" t="str">
        <f ca="1">IF(J635&gt;=7,(MID(L636,1,1)&amp;MID(L636,2,4)+1),CELL("address",AD636))</f>
        <v>G641</v>
      </c>
      <c r="N636" s="135" t="str">
        <f ca="1">IF(J635&gt;=8,(MID(M636,1,1)&amp;MID(M636,2,4)+1),CELL("address",AE636))</f>
        <v>$AE$636</v>
      </c>
      <c r="O636" s="135" t="str">
        <f ca="1">IF(J635&gt;=9,(MID(N636,1,1)&amp;MID(N636,2,4)+1),CELL("address",AF636))</f>
        <v>$AF$636</v>
      </c>
      <c r="P636" s="135" t="str">
        <f ca="1">IF(J635&gt;=10,(MID(O636,1,1)&amp;MID(O636,2,4)+1),CELL("address",AG636))</f>
        <v>$AG$636</v>
      </c>
      <c r="Q636" s="135" t="str">
        <f ca="1">IF(J635&gt;=11,(MID(P636,1,1)&amp;MID(P636,2,4)+1),CELL("address",AH636))</f>
        <v>$AH$636</v>
      </c>
      <c r="R636" s="135" t="str">
        <f ca="1">IF(J635&gt;=12,(MID(Q636,1,1)&amp;MID(Q636,2,4)+1),CELL("address",AI636))</f>
        <v>$AI$636</v>
      </c>
    </row>
    <row r="637" spans="1:8" ht="15" customHeight="1">
      <c r="A637" s="283"/>
      <c r="B637" s="284"/>
      <c r="C637" s="288"/>
      <c r="D637" s="46" t="s">
        <v>45</v>
      </c>
      <c r="E637" s="85">
        <v>0.065</v>
      </c>
      <c r="F637" s="126"/>
      <c r="G637" s="126" t="str">
        <f>CONCATENATE(D637," - ",E637,", ")</f>
        <v>Misc. Copper scrap - 0.065, </v>
      </c>
      <c r="H637" s="139"/>
    </row>
    <row r="638" spans="1:8" ht="15" customHeight="1">
      <c r="A638" s="283"/>
      <c r="B638" s="284"/>
      <c r="C638" s="288"/>
      <c r="D638" s="45" t="s">
        <v>37</v>
      </c>
      <c r="E638" s="85">
        <v>0.325</v>
      </c>
      <c r="F638" s="126"/>
      <c r="G638" s="126" t="str">
        <f>CONCATENATE(D638," - ",E638,", ")</f>
        <v>Burnt Cu scrap - 0.325, </v>
      </c>
      <c r="H638" s="139"/>
    </row>
    <row r="639" spans="1:8" ht="15" customHeight="1">
      <c r="A639" s="283"/>
      <c r="B639" s="284"/>
      <c r="C639" s="288"/>
      <c r="D639" s="46" t="s">
        <v>24</v>
      </c>
      <c r="E639" s="85">
        <v>0.205</v>
      </c>
      <c r="F639" s="126"/>
      <c r="G639" s="126" t="str">
        <f>CONCATENATE(D639," - ",E639,", ")</f>
        <v>Misc. Aluminium scrap - 0.205, </v>
      </c>
      <c r="H639" s="139"/>
    </row>
    <row r="640" spans="1:8" ht="15" customHeight="1">
      <c r="A640" s="285"/>
      <c r="B640" s="286"/>
      <c r="C640" s="289"/>
      <c r="D640" s="45" t="s">
        <v>41</v>
      </c>
      <c r="E640" s="85">
        <v>0.055</v>
      </c>
      <c r="F640" s="126"/>
      <c r="G640" s="126" t="str">
        <f>CONCATENATE(D640," - ",E640,", ")</f>
        <v>Burnt Aluminium scrap - 0.055, </v>
      </c>
      <c r="H640" s="139"/>
    </row>
    <row r="641" spans="1:8" ht="15" customHeight="1">
      <c r="A641" s="56"/>
      <c r="B641" s="72"/>
      <c r="C641" s="260"/>
      <c r="D641" s="45"/>
      <c r="E641" s="85"/>
      <c r="F641" s="126"/>
      <c r="G641" s="126"/>
      <c r="H641" s="139"/>
    </row>
    <row r="642" spans="1:8" ht="15" customHeight="1">
      <c r="A642" s="56"/>
      <c r="B642" s="72"/>
      <c r="C642" s="260"/>
      <c r="D642" s="51"/>
      <c r="E642" s="83">
        <f>SUM(E644:E645)</f>
        <v>0.30800000000000005</v>
      </c>
      <c r="F642" s="126"/>
      <c r="G642" s="126"/>
      <c r="H642" s="139"/>
    </row>
    <row r="643" spans="1:18" ht="15" customHeight="1">
      <c r="A643" s="274" t="s">
        <v>5</v>
      </c>
      <c r="B643" s="274"/>
      <c r="C643" s="79" t="s">
        <v>17</v>
      </c>
      <c r="D643" s="80" t="s">
        <v>18</v>
      </c>
      <c r="E643" s="79" t="s">
        <v>7</v>
      </c>
      <c r="F643" s="126"/>
      <c r="G643" s="128" t="str">
        <f>CONCATENATE("Misc. Healthy parts/ Non Ferrous  Scrap, Lying at ",C644,". Quantity in MT - ")</f>
        <v>Misc. Healthy parts/ Non Ferrous  Scrap, Lying at OL store Malerkotla. Quantity in MT - </v>
      </c>
      <c r="H643" s="312" t="str">
        <f ca="1">CONCATENATE(G643,G644,(INDIRECT(I644)),(INDIRECT(J644)),(INDIRECT(K644)),(INDIRECT(L644)),(INDIRECT(M644)),(INDIRECT(N644)),(INDIRECT(O644)),(INDIRECT(P644)),(INDIRECT(Q644)),(INDIRECT(R644)),".")</f>
        <v>Misc. Healthy parts/ Non Ferrous  Scrap, Lying at OL store Malerkotla. Quantity in MT - Misc. Alumn. Scrap - 0.028, Misc. copper scrap - 0.28, .</v>
      </c>
      <c r="I643" s="135" t="str">
        <f aca="true" ca="1" t="array" ref="I643">CELL("address",INDEX(G643:G666,MATCH(TRUE,ISBLANK(G643:G666),0)))</f>
        <v>$G$646</v>
      </c>
      <c r="J643" s="135">
        <f aca="true" t="array" ref="J643">MATCH(TRUE,ISBLANK(G643:G666),0)</f>
        <v>4</v>
      </c>
      <c r="K643" s="135">
        <f>J643-3</f>
        <v>1</v>
      </c>
      <c r="L643" s="135"/>
      <c r="M643" s="135"/>
      <c r="N643" s="135"/>
      <c r="O643" s="135"/>
      <c r="P643" s="135"/>
      <c r="Q643" s="135"/>
      <c r="R643" s="135"/>
    </row>
    <row r="644" spans="1:18" ht="15" customHeight="1">
      <c r="A644" s="281" t="s">
        <v>54</v>
      </c>
      <c r="B644" s="282"/>
      <c r="C644" s="287" t="s">
        <v>118</v>
      </c>
      <c r="D644" s="74" t="s">
        <v>31</v>
      </c>
      <c r="E644" s="53">
        <v>0.028</v>
      </c>
      <c r="F644" s="126"/>
      <c r="G644" s="126" t="str">
        <f>CONCATENATE(D644," - ",E644,", ")</f>
        <v>Misc. Alumn. Scrap - 0.028, </v>
      </c>
      <c r="H644" s="312"/>
      <c r="I644" s="135" t="str">
        <f ca="1">IF(J643&gt;=3,(MID(I643,2,1)&amp;MID(I643,4,4)-K643),CELL("address",Z644))</f>
        <v>G645</v>
      </c>
      <c r="J644" s="135" t="str">
        <f ca="1">IF(J643&gt;=4,(MID(I644,1,1)&amp;MID(I644,2,4)+1),CELL("address",AA644))</f>
        <v>G646</v>
      </c>
      <c r="K644" s="135" t="str">
        <f ca="1">IF(J643&gt;=5,(MID(J644,1,1)&amp;MID(J644,2,4)+1),CELL("address",AB644))</f>
        <v>$AB$644</v>
      </c>
      <c r="L644" s="135" t="str">
        <f ca="1">IF(J643&gt;=6,(MID(K644,1,1)&amp;MID(K644,2,4)+1),CELL("address",AC644))</f>
        <v>$AC$644</v>
      </c>
      <c r="M644" s="135" t="str">
        <f ca="1">IF(J643&gt;=7,(MID(L644,1,1)&amp;MID(L644,2,4)+1),CELL("address",AD644))</f>
        <v>$AD$644</v>
      </c>
      <c r="N644" s="135" t="str">
        <f ca="1">IF(J643&gt;=8,(MID(M644,1,1)&amp;MID(M644,2,4)+1),CELL("address",AE644))</f>
        <v>$AE$644</v>
      </c>
      <c r="O644" s="135" t="str">
        <f ca="1">IF(J643&gt;=9,(MID(N644,1,1)&amp;MID(N644,2,4)+1),CELL("address",AF644))</f>
        <v>$AF$644</v>
      </c>
      <c r="P644" s="135" t="str">
        <f ca="1">IF(J643&gt;=10,(MID(O644,1,1)&amp;MID(O644,2,4)+1),CELL("address",AG644))</f>
        <v>$AG$644</v>
      </c>
      <c r="Q644" s="135" t="str">
        <f ca="1">IF(J643&gt;=11,(MID(P644,1,1)&amp;MID(P644,2,4)+1),CELL("address",AH644))</f>
        <v>$AH$644</v>
      </c>
      <c r="R644" s="135" t="str">
        <f ca="1">IF(J643&gt;=12,(MID(Q644,1,1)&amp;MID(Q644,2,4)+1),CELL("address",AI644))</f>
        <v>$AI$644</v>
      </c>
    </row>
    <row r="645" spans="1:8" ht="15" customHeight="1">
      <c r="A645" s="285"/>
      <c r="B645" s="286"/>
      <c r="C645" s="289"/>
      <c r="D645" s="196" t="s">
        <v>113</v>
      </c>
      <c r="E645" s="234">
        <v>0.28</v>
      </c>
      <c r="F645" s="126">
        <v>0.2</v>
      </c>
      <c r="G645" s="126" t="str">
        <f>CONCATENATE(D645," - ",E645,", ")</f>
        <v>Misc. copper scrap - 0.28, </v>
      </c>
      <c r="H645" s="139"/>
    </row>
    <row r="646" spans="1:8" ht="15" customHeight="1">
      <c r="A646" s="293"/>
      <c r="B646" s="294"/>
      <c r="C646" s="256"/>
      <c r="D646" s="74"/>
      <c r="E646" s="79"/>
      <c r="F646" s="126"/>
      <c r="G646" s="126"/>
      <c r="H646" s="139"/>
    </row>
    <row r="647" spans="1:8" ht="15" customHeight="1">
      <c r="A647" s="279"/>
      <c r="B647" s="280"/>
      <c r="C647" s="82"/>
      <c r="D647" s="82"/>
      <c r="E647" s="83">
        <f>SUM(E649:E650)</f>
        <v>0.067</v>
      </c>
      <c r="F647" s="126"/>
      <c r="G647" s="126"/>
      <c r="H647" s="139"/>
    </row>
    <row r="648" spans="1:18" ht="15" customHeight="1">
      <c r="A648" s="274" t="s">
        <v>5</v>
      </c>
      <c r="B648" s="274"/>
      <c r="C648" s="79" t="s">
        <v>17</v>
      </c>
      <c r="D648" s="80" t="s">
        <v>18</v>
      </c>
      <c r="E648" s="79" t="s">
        <v>7</v>
      </c>
      <c r="F648" s="126"/>
      <c r="G648" s="128" t="str">
        <f>CONCATENATE("Misc. Healthy parts/ Non Ferrous  Scrap, Lying at ",C649,". Quantity in MT - ")</f>
        <v>Misc. Healthy parts/ Non Ferrous  Scrap, Lying at TRY Malerkotla. Quantity in MT - </v>
      </c>
      <c r="H648" s="312" t="str">
        <f ca="1">CONCATENATE(G648,G649,(INDIRECT(I649)),(INDIRECT(J649)),(INDIRECT(K649)),(INDIRECT(L649)),(INDIRECT(M649)),(INDIRECT(N649)),(INDIRECT(O649)),(INDIRECT(P649)),(INDIRECT(Q649)),(INDIRECT(R649)),".")</f>
        <v>Misc. Healthy parts/ Non Ferrous  Scrap, Lying at TRY Malerkotla. Quantity in MT - Brass scrap - 0.062, Misc. Alumn. Scrap - 0.005, .</v>
      </c>
      <c r="I648" s="135" t="str">
        <f aca="true" ca="1" t="array" ref="I648">CELL("address",INDEX(G648:G671,MATCH(TRUE,ISBLANK(G648:G671),0)))</f>
        <v>$G$651</v>
      </c>
      <c r="J648" s="135">
        <f aca="true" t="array" ref="J648">MATCH(TRUE,ISBLANK(G648:G671),0)</f>
        <v>4</v>
      </c>
      <c r="K648" s="135">
        <f>J648-3</f>
        <v>1</v>
      </c>
      <c r="L648" s="135"/>
      <c r="M648" s="135"/>
      <c r="N648" s="135"/>
      <c r="O648" s="135"/>
      <c r="P648" s="135"/>
      <c r="Q648" s="135"/>
      <c r="R648" s="135"/>
    </row>
    <row r="649" spans="1:18" ht="15" customHeight="1">
      <c r="A649" s="274" t="s">
        <v>117</v>
      </c>
      <c r="B649" s="274"/>
      <c r="C649" s="277" t="s">
        <v>28</v>
      </c>
      <c r="D649" s="39" t="s">
        <v>23</v>
      </c>
      <c r="E649" s="39">
        <v>0.062</v>
      </c>
      <c r="F649" s="126">
        <v>0.061</v>
      </c>
      <c r="G649" s="126" t="str">
        <f>CONCATENATE(D649," - ",E649,", ")</f>
        <v>Brass scrap - 0.062, </v>
      </c>
      <c r="H649" s="312"/>
      <c r="I649" s="135" t="str">
        <f ca="1">IF(J648&gt;=3,(MID(I648,2,1)&amp;MID(I648,4,4)-K648),CELL("address",Z649))</f>
        <v>G650</v>
      </c>
      <c r="J649" s="135" t="str">
        <f ca="1">IF(J648&gt;=4,(MID(I649,1,1)&amp;MID(I649,2,4)+1),CELL("address",AA649))</f>
        <v>G651</v>
      </c>
      <c r="K649" s="135" t="str">
        <f ca="1">IF(J648&gt;=5,(MID(J649,1,1)&amp;MID(J649,2,4)+1),CELL("address",AB649))</f>
        <v>$AB$649</v>
      </c>
      <c r="L649" s="135" t="str">
        <f ca="1">IF(J648&gt;=6,(MID(K649,1,1)&amp;MID(K649,2,4)+1),CELL("address",AC649))</f>
        <v>$AC$649</v>
      </c>
      <c r="M649" s="135" t="str">
        <f ca="1">IF(J648&gt;=7,(MID(L649,1,1)&amp;MID(L649,2,4)+1),CELL("address",AD649))</f>
        <v>$AD$649</v>
      </c>
      <c r="N649" s="135" t="str">
        <f ca="1">IF(J648&gt;=8,(MID(M649,1,1)&amp;MID(M649,2,4)+1),CELL("address",AE649))</f>
        <v>$AE$649</v>
      </c>
      <c r="O649" s="135" t="str">
        <f ca="1">IF(J648&gt;=9,(MID(N649,1,1)&amp;MID(N649,2,4)+1),CELL("address",AF649))</f>
        <v>$AF$649</v>
      </c>
      <c r="P649" s="135" t="str">
        <f ca="1">IF(J648&gt;=10,(MID(O649,1,1)&amp;MID(O649,2,4)+1),CELL("address",AG649))</f>
        <v>$AG$649</v>
      </c>
      <c r="Q649" s="135" t="str">
        <f ca="1">IF(J648&gt;=11,(MID(P649,1,1)&amp;MID(P649,2,4)+1),CELL("address",AH649))</f>
        <v>$AH$649</v>
      </c>
      <c r="R649" s="135" t="str">
        <f ca="1">IF(J648&gt;=12,(MID(Q649,1,1)&amp;MID(Q649,2,4)+1),CELL("address",AI649))</f>
        <v>$AI$649</v>
      </c>
    </row>
    <row r="650" spans="1:8" ht="15" customHeight="1">
      <c r="A650" s="274"/>
      <c r="B650" s="274"/>
      <c r="C650" s="277"/>
      <c r="D650" s="51" t="s">
        <v>31</v>
      </c>
      <c r="E650" s="79">
        <v>0.005</v>
      </c>
      <c r="F650" s="126">
        <v>0.005</v>
      </c>
      <c r="G650" s="126" t="str">
        <f>CONCATENATE(D650," - ",E650,", ")</f>
        <v>Misc. Alumn. Scrap - 0.005, </v>
      </c>
      <c r="H650" s="139"/>
    </row>
    <row r="651" spans="1:8" ht="15" customHeight="1">
      <c r="A651" s="293"/>
      <c r="B651" s="294"/>
      <c r="C651" s="256"/>
      <c r="D651" s="51"/>
      <c r="E651" s="79"/>
      <c r="F651" s="126"/>
      <c r="G651" s="126"/>
      <c r="H651" s="139"/>
    </row>
    <row r="652" spans="1:8" ht="15" customHeight="1">
      <c r="A652" s="279"/>
      <c r="B652" s="280"/>
      <c r="C652" s="82"/>
      <c r="D652" s="82"/>
      <c r="E652" s="83">
        <f>SUM(E654:E658)</f>
        <v>1.432</v>
      </c>
      <c r="F652" s="126"/>
      <c r="G652" s="126"/>
      <c r="H652" s="139"/>
    </row>
    <row r="653" spans="1:18" ht="15" customHeight="1">
      <c r="A653" s="293" t="s">
        <v>5</v>
      </c>
      <c r="B653" s="294"/>
      <c r="C653" s="79" t="s">
        <v>17</v>
      </c>
      <c r="D653" s="80" t="s">
        <v>18</v>
      </c>
      <c r="E653" s="79" t="s">
        <v>7</v>
      </c>
      <c r="F653" s="126"/>
      <c r="G653" s="128" t="str">
        <f>CONCATENATE("Misc. Healthy parts/ Non Ferrous  Scrap, Lying at ",C654,". Quantity in MT - ")</f>
        <v>Misc. Healthy parts/ Non Ferrous  Scrap, Lying at TRY Patran. Quantity in MT - </v>
      </c>
      <c r="H653" s="312" t="str">
        <f ca="1">CONCATENATE(G653,G654,(INDIRECT(I654)),(INDIRECT(J654)),(INDIRECT(K654)),(INDIRECT(L654)),(INDIRECT(M654)),(INDIRECT(N654)),(INDIRECT(O654)),(INDIRECT(P654)),(INDIRECT(Q654)),(INDIRECT(R654)),".")</f>
        <v>Misc. Healthy parts/ Non Ferrous  Scrap, Lying at TRY Patran. Quantity in MT - Brass scrap - 0.642, Misc. Aluminium scrap - 0.071, Burnt Cu scrap - 0.028, Ms Nuts &amp; Bolts - 0.6, Iron scrap - 0.091, .</v>
      </c>
      <c r="I653" s="135" t="str">
        <f aca="true" ca="1" t="array" ref="I653">CELL("address",INDEX(G653:G676,MATCH(TRUE,ISBLANK(G653:G676),0)))</f>
        <v>$G$659</v>
      </c>
      <c r="J653" s="135">
        <f aca="true" t="array" ref="J653">MATCH(TRUE,ISBLANK(G653:G676),0)</f>
        <v>7</v>
      </c>
      <c r="K653" s="135">
        <f>J653-3</f>
        <v>4</v>
      </c>
      <c r="L653" s="135"/>
      <c r="M653" s="135"/>
      <c r="N653" s="135"/>
      <c r="O653" s="135"/>
      <c r="P653" s="135"/>
      <c r="Q653" s="135"/>
      <c r="R653" s="135"/>
    </row>
    <row r="654" spans="1:18" ht="15" customHeight="1">
      <c r="A654" s="274" t="s">
        <v>119</v>
      </c>
      <c r="B654" s="274"/>
      <c r="C654" s="287" t="s">
        <v>138</v>
      </c>
      <c r="D654" s="257" t="s">
        <v>23</v>
      </c>
      <c r="E654" s="261">
        <v>0.642</v>
      </c>
      <c r="F654" s="126">
        <v>0.091</v>
      </c>
      <c r="G654" s="126" t="str">
        <f>CONCATENATE(D654," - ",E654,", ")</f>
        <v>Brass scrap - 0.642, </v>
      </c>
      <c r="H654" s="312"/>
      <c r="I654" s="135" t="str">
        <f ca="1">IF(J653&gt;=3,(MID(I653,2,1)&amp;MID(I653,4,4)-K653),CELL("address",Z654))</f>
        <v>G655</v>
      </c>
      <c r="J654" s="135" t="str">
        <f ca="1">IF(J653&gt;=4,(MID(I654,1,1)&amp;MID(I654,2,4)+1),CELL("address",AA654))</f>
        <v>G656</v>
      </c>
      <c r="K654" s="135" t="str">
        <f ca="1">IF(J653&gt;=5,(MID(J654,1,1)&amp;MID(J654,2,4)+1),CELL("address",AB654))</f>
        <v>G657</v>
      </c>
      <c r="L654" s="135" t="str">
        <f ca="1">IF(J653&gt;=6,(MID(K654,1,1)&amp;MID(K654,2,4)+1),CELL("address",AC654))</f>
        <v>G658</v>
      </c>
      <c r="M654" s="135" t="str">
        <f ca="1">IF(J653&gt;=7,(MID(L654,1,1)&amp;MID(L654,2,4)+1),CELL("address",AD654))</f>
        <v>G659</v>
      </c>
      <c r="N654" s="135" t="str">
        <f ca="1">IF(J653&gt;=8,(MID(M654,1,1)&amp;MID(M654,2,4)+1),CELL("address",AE654))</f>
        <v>$AE$654</v>
      </c>
      <c r="O654" s="135" t="str">
        <f ca="1">IF(J653&gt;=9,(MID(N654,1,1)&amp;MID(N654,2,4)+1),CELL("address",AF654))</f>
        <v>$AF$654</v>
      </c>
      <c r="P654" s="135" t="str">
        <f ca="1">IF(J653&gt;=10,(MID(O654,1,1)&amp;MID(O654,2,4)+1),CELL("address",AG654))</f>
        <v>$AG$654</v>
      </c>
      <c r="Q654" s="135" t="str">
        <f ca="1">IF(J653&gt;=11,(MID(P654,1,1)&amp;MID(P654,2,4)+1),CELL("address",AH654))</f>
        <v>$AH$654</v>
      </c>
      <c r="R654" s="135" t="str">
        <f ca="1">IF(J653&gt;=12,(MID(Q654,1,1)&amp;MID(Q654,2,4)+1),CELL("address",AI654))</f>
        <v>$AI$654</v>
      </c>
    </row>
    <row r="655" spans="1:8" ht="15" customHeight="1">
      <c r="A655" s="274"/>
      <c r="B655" s="274"/>
      <c r="C655" s="288"/>
      <c r="D655" s="257" t="s">
        <v>24</v>
      </c>
      <c r="E655" s="261">
        <v>0.071</v>
      </c>
      <c r="F655" s="126">
        <v>0.009</v>
      </c>
      <c r="G655" s="126" t="str">
        <f>CONCATENATE(D655," - ",E655,", ")</f>
        <v>Misc. Aluminium scrap - 0.071, </v>
      </c>
      <c r="H655" s="139"/>
    </row>
    <row r="656" spans="1:8" ht="15" customHeight="1">
      <c r="A656" s="274"/>
      <c r="B656" s="274"/>
      <c r="C656" s="288"/>
      <c r="D656" s="257" t="s">
        <v>37</v>
      </c>
      <c r="E656" s="261">
        <v>0.028</v>
      </c>
      <c r="F656" s="126">
        <v>0.004</v>
      </c>
      <c r="G656" s="126" t="str">
        <f>CONCATENATE(D656," - ",E656,", ")</f>
        <v>Burnt Cu scrap - 0.028, </v>
      </c>
      <c r="H656" s="139"/>
    </row>
    <row r="657" spans="1:8" ht="15" customHeight="1">
      <c r="A657" s="274"/>
      <c r="B657" s="274"/>
      <c r="C657" s="288"/>
      <c r="D657" s="39" t="s">
        <v>149</v>
      </c>
      <c r="E657" s="261">
        <v>0.6</v>
      </c>
      <c r="F657" s="126">
        <v>0.1</v>
      </c>
      <c r="G657" s="126" t="str">
        <f>CONCATENATE(D657," - ",E657,", ")</f>
        <v>Ms Nuts &amp; Bolts - 0.6, </v>
      </c>
      <c r="H657" s="139"/>
    </row>
    <row r="658" spans="1:8" ht="15" customHeight="1">
      <c r="A658" s="274"/>
      <c r="B658" s="274"/>
      <c r="C658" s="289"/>
      <c r="D658" s="257" t="s">
        <v>27</v>
      </c>
      <c r="E658" s="261">
        <v>0.091</v>
      </c>
      <c r="F658" s="126" t="s">
        <v>408</v>
      </c>
      <c r="G658" s="126" t="str">
        <f>CONCATENATE(D658," - ",E658,", ")</f>
        <v>Iron scrap - 0.091, </v>
      </c>
      <c r="H658" s="139"/>
    </row>
    <row r="659" spans="1:8" ht="15" customHeight="1">
      <c r="A659" s="56"/>
      <c r="B659" s="72"/>
      <c r="C659" s="260"/>
      <c r="D659" s="51"/>
      <c r="E659" s="52"/>
      <c r="F659" s="126"/>
      <c r="G659" s="126"/>
      <c r="H659" s="139"/>
    </row>
    <row r="660" spans="1:8" ht="15" customHeight="1">
      <c r="A660" s="279"/>
      <c r="B660" s="280"/>
      <c r="C660" s="82"/>
      <c r="D660" s="82"/>
      <c r="E660" s="83">
        <f>SUM(E662:E663)</f>
        <v>0.8340000000000001</v>
      </c>
      <c r="F660" s="126"/>
      <c r="G660" s="126"/>
      <c r="H660" s="139"/>
    </row>
    <row r="661" spans="1:18" ht="15" customHeight="1">
      <c r="A661" s="274" t="s">
        <v>5</v>
      </c>
      <c r="B661" s="274"/>
      <c r="C661" s="79" t="s">
        <v>17</v>
      </c>
      <c r="D661" s="80" t="s">
        <v>18</v>
      </c>
      <c r="E661" s="79" t="s">
        <v>7</v>
      </c>
      <c r="F661" s="126"/>
      <c r="G661" s="128" t="str">
        <f>CONCATENATE("Misc. Healthy parts/ Non Ferrous  Scrap, Lying at ",C662,". Quantity in MT - ")</f>
        <v>Misc. Healthy parts/ Non Ferrous  Scrap, Lying at TRY Patran. Quantity in MT - </v>
      </c>
      <c r="H661" s="312" t="str">
        <f ca="1">CONCATENATE(G661,G662,(INDIRECT(I662)),(INDIRECT(J662)),(INDIRECT(K662)),(INDIRECT(L662)),(INDIRECT(M662)),(INDIRECT(N662)),(INDIRECT(O662)),(INDIRECT(P662)),(INDIRECT(Q662)),(INDIRECT(R662)),".")</f>
        <v>Misc. Healthy parts/ Non Ferrous  Scrap, Lying at TRY Patran. Quantity in MT - Brass scrap - 0.783, Misc. Alumn. Scrap - 0.051, .</v>
      </c>
      <c r="I661" s="135" t="str">
        <f aca="true" ca="1" t="array" ref="I661">CELL("address",INDEX(G661:G683,MATCH(TRUE,ISBLANK(G661:G683),0)))</f>
        <v>$G$664</v>
      </c>
      <c r="J661" s="135">
        <f aca="true" t="array" ref="J661">MATCH(TRUE,ISBLANK(G661:G683),0)</f>
        <v>4</v>
      </c>
      <c r="K661" s="135">
        <f>J661-3</f>
        <v>1</v>
      </c>
      <c r="L661" s="135"/>
      <c r="M661" s="135"/>
      <c r="N661" s="135"/>
      <c r="O661" s="135"/>
      <c r="P661" s="135"/>
      <c r="Q661" s="135"/>
      <c r="R661" s="135"/>
    </row>
    <row r="662" spans="1:18" ht="15" customHeight="1">
      <c r="A662" s="274" t="s">
        <v>120</v>
      </c>
      <c r="B662" s="274"/>
      <c r="C662" s="277" t="s">
        <v>138</v>
      </c>
      <c r="D662" s="39" t="s">
        <v>23</v>
      </c>
      <c r="E662" s="39">
        <v>0.783</v>
      </c>
      <c r="F662" s="126">
        <v>0.124</v>
      </c>
      <c r="G662" s="126" t="str">
        <f>CONCATENATE(D662," - ",E662,", ")</f>
        <v>Brass scrap - 0.783, </v>
      </c>
      <c r="H662" s="312"/>
      <c r="I662" s="135" t="str">
        <f ca="1">IF(J661&gt;=3,(MID(I661,2,1)&amp;MID(I661,4,4)-K661),CELL("address",Z662))</f>
        <v>G663</v>
      </c>
      <c r="J662" s="135" t="str">
        <f ca="1">IF(J661&gt;=4,(MID(I662,1,1)&amp;MID(I662,2,4)+1),CELL("address",AA662))</f>
        <v>G664</v>
      </c>
      <c r="K662" s="135" t="str">
        <f ca="1">IF(J661&gt;=5,(MID(J662,1,1)&amp;MID(J662,2,4)+1),CELL("address",AB662))</f>
        <v>$AB$662</v>
      </c>
      <c r="L662" s="135" t="str">
        <f ca="1">IF(J661&gt;=6,(MID(K662,1,1)&amp;MID(K662,2,4)+1),CELL("address",AC662))</f>
        <v>$AC$662</v>
      </c>
      <c r="M662" s="135" t="str">
        <f ca="1">IF(J661&gt;=7,(MID(L662,1,1)&amp;MID(L662,2,4)+1),CELL("address",AD662))</f>
        <v>$AD$662</v>
      </c>
      <c r="N662" s="135" t="str">
        <f ca="1">IF(J661&gt;=8,(MID(M662,1,1)&amp;MID(M662,2,4)+1),CELL("address",AE662))</f>
        <v>$AE$662</v>
      </c>
      <c r="O662" s="135" t="str">
        <f ca="1">IF(J661&gt;=9,(MID(N662,1,1)&amp;MID(N662,2,4)+1),CELL("address",AF662))</f>
        <v>$AF$662</v>
      </c>
      <c r="P662" s="135" t="str">
        <f ca="1">IF(J661&gt;=10,(MID(O662,1,1)&amp;MID(O662,2,4)+1),CELL("address",AG662))</f>
        <v>$AG$662</v>
      </c>
      <c r="Q662" s="135" t="str">
        <f ca="1">IF(J661&gt;=11,(MID(P662,1,1)&amp;MID(P662,2,4)+1),CELL("address",AH662))</f>
        <v>$AH$662</v>
      </c>
      <c r="R662" s="135" t="str">
        <f ca="1">IF(J661&gt;=12,(MID(Q662,1,1)&amp;MID(Q662,2,4)+1),CELL("address",AI662))</f>
        <v>$AI$662</v>
      </c>
    </row>
    <row r="663" spans="1:8" ht="15" customHeight="1">
      <c r="A663" s="274"/>
      <c r="B663" s="274"/>
      <c r="C663" s="277"/>
      <c r="D663" s="39" t="s">
        <v>31</v>
      </c>
      <c r="E663" s="234">
        <v>0.051</v>
      </c>
      <c r="F663" s="126">
        <v>0.008</v>
      </c>
      <c r="G663" s="126" t="str">
        <f>CONCATENATE(D663," - ",E663,", ")</f>
        <v>Misc. Alumn. Scrap - 0.051, </v>
      </c>
      <c r="H663" s="139"/>
    </row>
    <row r="664" spans="1:8" ht="15" customHeight="1">
      <c r="A664" s="41"/>
      <c r="F664" s="126"/>
      <c r="G664" s="126"/>
      <c r="H664" s="139"/>
    </row>
    <row r="665" spans="1:8" ht="15" customHeight="1">
      <c r="A665" s="279"/>
      <c r="B665" s="280"/>
      <c r="C665" s="82"/>
      <c r="D665" s="82"/>
      <c r="E665" s="83">
        <f>SUM(E667:E668)</f>
        <v>2.17</v>
      </c>
      <c r="F665" s="126"/>
      <c r="G665" s="126"/>
      <c r="H665" s="139"/>
    </row>
    <row r="666" spans="1:18" ht="15" customHeight="1">
      <c r="A666" s="274" t="s">
        <v>5</v>
      </c>
      <c r="B666" s="274"/>
      <c r="C666" s="79" t="s">
        <v>17</v>
      </c>
      <c r="D666" s="80" t="s">
        <v>18</v>
      </c>
      <c r="E666" s="79" t="s">
        <v>7</v>
      </c>
      <c r="F666" s="126"/>
      <c r="G666" s="128" t="str">
        <f>CONCATENATE("Misc. Healthy parts/ Non Ferrous  Scrap, Lying at ",C667,". Quantity in MT - ")</f>
        <v>Misc. Healthy parts/ Non Ferrous  Scrap, Lying at TRY Ropar. Quantity in MT - </v>
      </c>
      <c r="H666" s="312" t="str">
        <f ca="1">CONCATENATE(G666,G667,(INDIRECT(I667)),(INDIRECT(J667)),(INDIRECT(K667)),(INDIRECT(L667)),(INDIRECT(M667)),(INDIRECT(N667)),(INDIRECT(O667)),(INDIRECT(P667)),(INDIRECT(Q667)),(INDIRECT(R667)),".")</f>
        <v>Misc. Healthy parts/ Non Ferrous  Scrap, Lying at TRY Ropar. Quantity in MT - Brass scrap - 2.007, Misc. Alumn. Scrap - 0.163, .</v>
      </c>
      <c r="I666" s="135" t="str">
        <f aca="true" ca="1" t="array" ref="I666">CELL("address",INDEX(G666:G688,MATCH(TRUE,ISBLANK(G666:G688),0)))</f>
        <v>$G$669</v>
      </c>
      <c r="J666" s="135">
        <f aca="true" t="array" ref="J666">MATCH(TRUE,ISBLANK(G666:G688),0)</f>
        <v>4</v>
      </c>
      <c r="K666" s="135">
        <f>J666-3</f>
        <v>1</v>
      </c>
      <c r="L666" s="135"/>
      <c r="M666" s="135"/>
      <c r="N666" s="135"/>
      <c r="O666" s="135"/>
      <c r="P666" s="135"/>
      <c r="Q666" s="135"/>
      <c r="R666" s="135"/>
    </row>
    <row r="667" spans="1:18" ht="15" customHeight="1">
      <c r="A667" s="274" t="s">
        <v>127</v>
      </c>
      <c r="B667" s="274"/>
      <c r="C667" s="277" t="s">
        <v>145</v>
      </c>
      <c r="D667" s="51" t="s">
        <v>23</v>
      </c>
      <c r="E667" s="51">
        <v>2.007</v>
      </c>
      <c r="F667" s="126"/>
      <c r="G667" s="126" t="str">
        <f>CONCATENATE(D667," - ",E667,", ")</f>
        <v>Brass scrap - 2.007, </v>
      </c>
      <c r="H667" s="312"/>
      <c r="I667" s="135" t="str">
        <f ca="1">IF(J666&gt;=3,(MID(I666,2,1)&amp;MID(I666,4,4)-K666),CELL("address",Z667))</f>
        <v>G668</v>
      </c>
      <c r="J667" s="135" t="str">
        <f ca="1">IF(J666&gt;=4,(MID(I667,1,1)&amp;MID(I667,2,4)+1),CELL("address",AA667))</f>
        <v>G669</v>
      </c>
      <c r="K667" s="135" t="str">
        <f ca="1">IF(J666&gt;=5,(MID(J667,1,1)&amp;MID(J667,2,4)+1),CELL("address",AB667))</f>
        <v>$AB$667</v>
      </c>
      <c r="L667" s="135" t="str">
        <f ca="1">IF(J666&gt;=6,(MID(K667,1,1)&amp;MID(K667,2,4)+1),CELL("address",AC667))</f>
        <v>$AC$667</v>
      </c>
      <c r="M667" s="135" t="str">
        <f ca="1">IF(J666&gt;=7,(MID(L667,1,1)&amp;MID(L667,2,4)+1),CELL("address",AD667))</f>
        <v>$AD$667</v>
      </c>
      <c r="N667" s="135" t="str">
        <f ca="1">IF(J666&gt;=8,(MID(M667,1,1)&amp;MID(M667,2,4)+1),CELL("address",AE667))</f>
        <v>$AE$667</v>
      </c>
      <c r="O667" s="135" t="str">
        <f ca="1">IF(J666&gt;=9,(MID(N667,1,1)&amp;MID(N667,2,4)+1),CELL("address",AF667))</f>
        <v>$AF$667</v>
      </c>
      <c r="P667" s="135" t="str">
        <f ca="1">IF(J666&gt;=10,(MID(O667,1,1)&amp;MID(O667,2,4)+1),CELL("address",AG667))</f>
        <v>$AG$667</v>
      </c>
      <c r="Q667" s="135" t="str">
        <f ca="1">IF(J666&gt;=11,(MID(P667,1,1)&amp;MID(P667,2,4)+1),CELL("address",AH667))</f>
        <v>$AH$667</v>
      </c>
      <c r="R667" s="135" t="str">
        <f ca="1">IF(J666&gt;=12,(MID(Q667,1,1)&amp;MID(Q667,2,4)+1),CELL("address",AI667))</f>
        <v>$AI$667</v>
      </c>
    </row>
    <row r="668" spans="1:8" ht="15" customHeight="1">
      <c r="A668" s="274"/>
      <c r="B668" s="274"/>
      <c r="C668" s="277"/>
      <c r="D668" s="51" t="s">
        <v>31</v>
      </c>
      <c r="E668" s="79">
        <v>0.163</v>
      </c>
      <c r="F668" s="126"/>
      <c r="G668" s="126" t="str">
        <f>CONCATENATE(D668," - ",E668,", ")</f>
        <v>Misc. Alumn. Scrap - 0.163, </v>
      </c>
      <c r="H668" s="139"/>
    </row>
    <row r="669" spans="1:8" ht="15" customHeight="1">
      <c r="A669" s="58"/>
      <c r="B669" s="61"/>
      <c r="C669" s="22"/>
      <c r="D669" s="107"/>
      <c r="E669" s="106"/>
      <c r="F669" s="126"/>
      <c r="G669" s="126"/>
      <c r="H669" s="139"/>
    </row>
    <row r="670" spans="1:8" ht="15" customHeight="1">
      <c r="A670" s="279"/>
      <c r="B670" s="280"/>
      <c r="C670" s="82"/>
      <c r="D670" s="82"/>
      <c r="E670" s="83">
        <f>SUM(E672:E676)</f>
        <v>1.1320000000000001</v>
      </c>
      <c r="F670" s="126"/>
      <c r="G670" s="126"/>
      <c r="H670" s="139"/>
    </row>
    <row r="671" spans="1:18" ht="15" customHeight="1">
      <c r="A671" s="274" t="s">
        <v>5</v>
      </c>
      <c r="B671" s="274"/>
      <c r="C671" s="79" t="s">
        <v>17</v>
      </c>
      <c r="D671" s="80" t="s">
        <v>18</v>
      </c>
      <c r="E671" s="79" t="s">
        <v>7</v>
      </c>
      <c r="F671" s="126"/>
      <c r="G671" s="128" t="str">
        <f>CONCATENATE("Misc. Healthy parts/ Non Ferrous  Scrap, Lying at ",C672,". Quantity in MT - ")</f>
        <v>Misc. Healthy parts/ Non Ferrous  Scrap, Lying at TRY Patiala. Quantity in MT - </v>
      </c>
      <c r="H671" s="312" t="str">
        <f ca="1">CONCATENATE(G671,G672,(INDIRECT(I672)),(INDIRECT(J672)),(INDIRECT(K672)),(INDIRECT(L672)),(INDIRECT(M672)),(INDIRECT(N672)),(INDIRECT(O672)),(INDIRECT(P672)),(INDIRECT(Q672)),(INDIRECT(R672)),".")</f>
        <v>Misc. Healthy parts/ Non Ferrous  Scrap, Lying at TRY Patiala. Quantity in MT - Brass scrap - 0.46, Misc. Alumn. Scrap - 0.043, Burnt Cu scrap - 0.033, Nuts &amp; Bolts scrap - 0.52, Teen Patra scrap - 0.076, .</v>
      </c>
      <c r="I671" s="135" t="str">
        <f aca="true" ca="1" t="array" ref="I671">CELL("address",INDEX(G671:G693,MATCH(TRUE,ISBLANK(G671:G693),0)))</f>
        <v>$G$677</v>
      </c>
      <c r="J671" s="135">
        <f aca="true" t="array" ref="J671">MATCH(TRUE,ISBLANK(G671:G693),0)</f>
        <v>7</v>
      </c>
      <c r="K671" s="135">
        <f>J671-3</f>
        <v>4</v>
      </c>
      <c r="L671" s="135"/>
      <c r="M671" s="135"/>
      <c r="N671" s="135"/>
      <c r="O671" s="135"/>
      <c r="P671" s="135"/>
      <c r="Q671" s="135"/>
      <c r="R671" s="135"/>
    </row>
    <row r="672" spans="1:18" ht="15" customHeight="1">
      <c r="A672" s="274" t="s">
        <v>135</v>
      </c>
      <c r="B672" s="274"/>
      <c r="C672" s="277" t="s">
        <v>122</v>
      </c>
      <c r="D672" s="51" t="s">
        <v>23</v>
      </c>
      <c r="E672" s="53">
        <v>0.46</v>
      </c>
      <c r="F672" s="126"/>
      <c r="G672" s="126" t="str">
        <f>CONCATENATE(D672," - ",E672,", ")</f>
        <v>Brass scrap - 0.46, </v>
      </c>
      <c r="H672" s="312"/>
      <c r="I672" s="135" t="str">
        <f ca="1">IF(J671&gt;=3,(MID(I671,2,1)&amp;MID(I671,4,4)-K671),CELL("address",Z672))</f>
        <v>G673</v>
      </c>
      <c r="J672" s="135" t="str">
        <f ca="1">IF(J671&gt;=4,(MID(I672,1,1)&amp;MID(I672,2,4)+1),CELL("address",AA672))</f>
        <v>G674</v>
      </c>
      <c r="K672" s="135" t="str">
        <f ca="1">IF(J671&gt;=5,(MID(J672,1,1)&amp;MID(J672,2,4)+1),CELL("address",AB672))</f>
        <v>G675</v>
      </c>
      <c r="L672" s="135" t="str">
        <f ca="1">IF(J671&gt;=6,(MID(K672,1,1)&amp;MID(K672,2,4)+1),CELL("address",AC672))</f>
        <v>G676</v>
      </c>
      <c r="M672" s="135" t="str">
        <f ca="1">IF(J671&gt;=7,(MID(L672,1,1)&amp;MID(L672,2,4)+1),CELL("address",AD672))</f>
        <v>G677</v>
      </c>
      <c r="N672" s="135" t="str">
        <f ca="1">IF(J671&gt;=8,(MID(M672,1,1)&amp;MID(M672,2,4)+1),CELL("address",AE672))</f>
        <v>$AE$672</v>
      </c>
      <c r="O672" s="135" t="str">
        <f ca="1">IF(J671&gt;=9,(MID(N672,1,1)&amp;MID(N672,2,4)+1),CELL("address",AF672))</f>
        <v>$AF$672</v>
      </c>
      <c r="P672" s="135" t="str">
        <f ca="1">IF(J671&gt;=10,(MID(O672,1,1)&amp;MID(O672,2,4)+1),CELL("address",AG672))</f>
        <v>$AG$672</v>
      </c>
      <c r="Q672" s="135" t="str">
        <f ca="1">IF(J671&gt;=11,(MID(P672,1,1)&amp;MID(P672,2,4)+1),CELL("address",AH672))</f>
        <v>$AH$672</v>
      </c>
      <c r="R672" s="135" t="str">
        <f ca="1">IF(J671&gt;=12,(MID(Q672,1,1)&amp;MID(Q672,2,4)+1),CELL("address",AI672))</f>
        <v>$AI$672</v>
      </c>
    </row>
    <row r="673" spans="1:8" ht="15" customHeight="1">
      <c r="A673" s="274"/>
      <c r="B673" s="274"/>
      <c r="C673" s="277"/>
      <c r="D673" s="51" t="s">
        <v>31</v>
      </c>
      <c r="E673" s="92">
        <v>0.043</v>
      </c>
      <c r="F673" s="126"/>
      <c r="G673" s="126" t="str">
        <f>CONCATENATE(D673," - ",E673,", ")</f>
        <v>Misc. Alumn. Scrap - 0.043, </v>
      </c>
      <c r="H673" s="139"/>
    </row>
    <row r="674" spans="1:8" ht="15" customHeight="1">
      <c r="A674" s="274"/>
      <c r="B674" s="274"/>
      <c r="C674" s="277"/>
      <c r="D674" s="46" t="s">
        <v>37</v>
      </c>
      <c r="E674" s="171">
        <v>0.033</v>
      </c>
      <c r="F674" s="126"/>
      <c r="G674" s="126" t="str">
        <f>CONCATENATE(D674," - ",E674,", ")</f>
        <v>Burnt Cu scrap - 0.033, </v>
      </c>
      <c r="H674" s="139"/>
    </row>
    <row r="675" spans="1:8" ht="15" customHeight="1">
      <c r="A675" s="274"/>
      <c r="B675" s="274"/>
      <c r="C675" s="277"/>
      <c r="D675" s="46" t="s">
        <v>59</v>
      </c>
      <c r="E675" s="171">
        <v>0.52</v>
      </c>
      <c r="F675" s="126"/>
      <c r="G675" s="126" t="str">
        <f>CONCATENATE(D675," - ",E675,", ")</f>
        <v>Nuts &amp; Bolts scrap - 0.52, </v>
      </c>
      <c r="H675" s="139"/>
    </row>
    <row r="676" spans="1:8" ht="15" customHeight="1">
      <c r="A676" s="274"/>
      <c r="B676" s="274"/>
      <c r="C676" s="277"/>
      <c r="D676" s="46" t="s">
        <v>65</v>
      </c>
      <c r="E676" s="171">
        <v>0.076</v>
      </c>
      <c r="F676" s="126"/>
      <c r="G676" s="126" t="str">
        <f>CONCATENATE(D676," - ",E676,", ")</f>
        <v>Teen Patra scrap - 0.076, </v>
      </c>
      <c r="H676" s="139"/>
    </row>
    <row r="677" spans="1:8" ht="15" customHeight="1">
      <c r="A677" s="41"/>
      <c r="B677" s="1"/>
      <c r="C677" s="1"/>
      <c r="D677" s="1"/>
      <c r="E677" s="1"/>
      <c r="F677" s="126"/>
      <c r="G677" s="126"/>
      <c r="H677" s="139"/>
    </row>
    <row r="678" spans="1:8" ht="15" customHeight="1">
      <c r="A678" s="279"/>
      <c r="B678" s="280"/>
      <c r="C678" s="82"/>
      <c r="D678" s="82"/>
      <c r="E678" s="83">
        <f>SUM(E680:E681)</f>
        <v>0.89</v>
      </c>
      <c r="F678" s="126"/>
      <c r="G678" s="126"/>
      <c r="H678" s="139"/>
    </row>
    <row r="679" spans="1:18" ht="15" customHeight="1">
      <c r="A679" s="274" t="s">
        <v>5</v>
      </c>
      <c r="B679" s="274"/>
      <c r="C679" s="79" t="s">
        <v>17</v>
      </c>
      <c r="D679" s="80" t="s">
        <v>18</v>
      </c>
      <c r="E679" s="79" t="s">
        <v>7</v>
      </c>
      <c r="F679" s="126"/>
      <c r="G679" s="128" t="str">
        <f>CONCATENATE("Misc. Healthy parts/ Non Ferrous  Scrap, Lying at ",C680,". Quantity in MT - ")</f>
        <v>Misc. Healthy parts/ Non Ferrous  Scrap, Lying at TRY Patiala. Quantity in MT - </v>
      </c>
      <c r="H679" s="312" t="str">
        <f ca="1">CONCATENATE(G679,G680,(INDIRECT(I680)),(INDIRECT(J680)),(INDIRECT(K680)),(INDIRECT(L680)),(INDIRECT(M680)),(INDIRECT(N680)),(INDIRECT(O680)),(INDIRECT(P680)),(INDIRECT(Q680)),(INDIRECT(R680)),".")</f>
        <v>Misc. Healthy parts/ Non Ferrous  Scrap, Lying at TRY Patiala. Quantity in MT - Brass scrap - 0.846, Misc. Alumn. Scrap - 0.044, .</v>
      </c>
      <c r="I679" s="135" t="str">
        <f aca="true" ca="1" t="array" ref="I679">CELL("address",INDEX(G679:G701,MATCH(TRUE,ISBLANK(G679:G701),0)))</f>
        <v>$G$682</v>
      </c>
      <c r="J679" s="135">
        <f aca="true" t="array" ref="J679">MATCH(TRUE,ISBLANK(G679:G701),0)</f>
        <v>4</v>
      </c>
      <c r="K679" s="135">
        <f>J679-3</f>
        <v>1</v>
      </c>
      <c r="L679" s="135"/>
      <c r="M679" s="135"/>
      <c r="N679" s="135"/>
      <c r="O679" s="135"/>
      <c r="P679" s="135"/>
      <c r="Q679" s="135"/>
      <c r="R679" s="135"/>
    </row>
    <row r="680" spans="1:18" ht="15" customHeight="1">
      <c r="A680" s="274" t="s">
        <v>136</v>
      </c>
      <c r="B680" s="274"/>
      <c r="C680" s="277" t="s">
        <v>122</v>
      </c>
      <c r="D680" s="51" t="s">
        <v>23</v>
      </c>
      <c r="E680" s="53">
        <v>0.846</v>
      </c>
      <c r="F680" s="126"/>
      <c r="G680" s="126" t="str">
        <f>CONCATENATE(D680," - ",E680,", ")</f>
        <v>Brass scrap - 0.846, </v>
      </c>
      <c r="H680" s="312"/>
      <c r="I680" s="135" t="str">
        <f ca="1">IF(J679&gt;=3,(MID(I679,2,1)&amp;MID(I679,4,4)-K679),CELL("address",Z680))</f>
        <v>G681</v>
      </c>
      <c r="J680" s="135" t="str">
        <f ca="1">IF(J679&gt;=4,(MID(I680,1,1)&amp;MID(I680,2,4)+1),CELL("address",AA680))</f>
        <v>G682</v>
      </c>
      <c r="K680" s="135" t="str">
        <f ca="1">IF(J679&gt;=5,(MID(J680,1,1)&amp;MID(J680,2,4)+1),CELL("address",AB680))</f>
        <v>$AB$680</v>
      </c>
      <c r="L680" s="135" t="str">
        <f ca="1">IF(J679&gt;=6,(MID(K680,1,1)&amp;MID(K680,2,4)+1),CELL("address",AC680))</f>
        <v>$AC$680</v>
      </c>
      <c r="M680" s="135" t="str">
        <f ca="1">IF(J679&gt;=7,(MID(L680,1,1)&amp;MID(L680,2,4)+1),CELL("address",AD680))</f>
        <v>$AD$680</v>
      </c>
      <c r="N680" s="135" t="str">
        <f ca="1">IF(J679&gt;=8,(MID(M680,1,1)&amp;MID(M680,2,4)+1),CELL("address",AE680))</f>
        <v>$AE$680</v>
      </c>
      <c r="O680" s="135" t="str">
        <f ca="1">IF(J679&gt;=9,(MID(N680,1,1)&amp;MID(N680,2,4)+1),CELL("address",AF680))</f>
        <v>$AF$680</v>
      </c>
      <c r="P680" s="135" t="str">
        <f ca="1">IF(J679&gt;=10,(MID(O680,1,1)&amp;MID(O680,2,4)+1),CELL("address",AG680))</f>
        <v>$AG$680</v>
      </c>
      <c r="Q680" s="135" t="str">
        <f ca="1">IF(J679&gt;=11,(MID(P680,1,1)&amp;MID(P680,2,4)+1),CELL("address",AH680))</f>
        <v>$AH$680</v>
      </c>
      <c r="R680" s="135" t="str">
        <f ca="1">IF(J679&gt;=12,(MID(Q680,1,1)&amp;MID(Q680,2,4)+1),CELL("address",AI680))</f>
        <v>$AI$680</v>
      </c>
    </row>
    <row r="681" spans="1:8" ht="15" customHeight="1">
      <c r="A681" s="274"/>
      <c r="B681" s="274"/>
      <c r="C681" s="277"/>
      <c r="D681" s="51" t="s">
        <v>31</v>
      </c>
      <c r="E681" s="79">
        <v>0.044</v>
      </c>
      <c r="F681" s="126"/>
      <c r="G681" s="126" t="str">
        <f>CONCATENATE(D681," - ",E681,", ")</f>
        <v>Misc. Alumn. Scrap - 0.044, </v>
      </c>
      <c r="H681" s="139"/>
    </row>
    <row r="682" spans="1:8" ht="15" customHeight="1">
      <c r="A682" s="58"/>
      <c r="B682" s="61"/>
      <c r="C682" s="22"/>
      <c r="D682" s="112"/>
      <c r="E682" s="113"/>
      <c r="F682" s="126"/>
      <c r="G682" s="126"/>
      <c r="H682" s="139"/>
    </row>
    <row r="683" spans="1:8" ht="15" customHeight="1">
      <c r="A683" s="279"/>
      <c r="B683" s="280"/>
      <c r="C683" s="82"/>
      <c r="D683" s="82"/>
      <c r="E683" s="83">
        <f>SUM(E685:E686)</f>
        <v>0.027</v>
      </c>
      <c r="F683" s="126"/>
      <c r="G683" s="126"/>
      <c r="H683" s="139"/>
    </row>
    <row r="684" spans="1:18" ht="15" customHeight="1">
      <c r="A684" s="274" t="s">
        <v>5</v>
      </c>
      <c r="B684" s="274"/>
      <c r="C684" s="79" t="s">
        <v>17</v>
      </c>
      <c r="D684" s="80" t="s">
        <v>18</v>
      </c>
      <c r="E684" s="79" t="s">
        <v>7</v>
      </c>
      <c r="F684" s="126"/>
      <c r="G684" s="128" t="str">
        <f>CONCATENATE("Misc. Healthy parts/ Non Ferrous  Scrap, Lying at ",C685,". Quantity in MT - ")</f>
        <v>Misc. Healthy parts/ Non Ferrous  Scrap, Lying at CS Sangrur. Quantity in MT - </v>
      </c>
      <c r="H684" s="177" t="str">
        <f ca="1">CONCATENATE(G684,G685,(INDIRECT(I685)),(INDIRECT(J685)),(INDIRECT(K685)),(INDIRECT(L685)),(INDIRECT(M685)),(INDIRECT(N685)),(INDIRECT(O685)),(INDIRECT(P685)),(INDIRECT(Q685)),(INDIRECT(R685)),".")</f>
        <v>Misc. Healthy parts/ Non Ferrous  Scrap, Lying at CS Sangrur. Quantity in MT - Misc. copper scrap - 0.022, Misc. Alumn. Scrap - 0.005, .</v>
      </c>
      <c r="I684" s="135" t="str">
        <f aca="true" ca="1" t="array" ref="I684">CELL("address",INDEX(G684:G706,MATCH(TRUE,ISBLANK(G684:G706),0)))</f>
        <v>$G$687</v>
      </c>
      <c r="J684" s="135">
        <f aca="true" t="array" ref="J684">MATCH(TRUE,ISBLANK(G684:G706),0)</f>
        <v>4</v>
      </c>
      <c r="K684" s="135">
        <f>J684-3</f>
        <v>1</v>
      </c>
      <c r="L684" s="135"/>
      <c r="M684" s="135"/>
      <c r="N684" s="135"/>
      <c r="O684" s="135"/>
      <c r="P684" s="135"/>
      <c r="Q684" s="135"/>
      <c r="R684" s="135"/>
    </row>
    <row r="685" spans="1:18" ht="15" customHeight="1">
      <c r="A685" s="281" t="s">
        <v>143</v>
      </c>
      <c r="B685" s="282"/>
      <c r="C685" s="287" t="s">
        <v>80</v>
      </c>
      <c r="D685" s="74" t="s">
        <v>113</v>
      </c>
      <c r="E685" s="53">
        <v>0.022</v>
      </c>
      <c r="F685" s="126"/>
      <c r="G685" s="126" t="str">
        <f>CONCATENATE(D685," - ",E685,", ")</f>
        <v>Misc. copper scrap - 0.022, </v>
      </c>
      <c r="H685" s="177"/>
      <c r="I685" s="135" t="str">
        <f ca="1">IF(J684&gt;=3,(MID(I684,2,1)&amp;MID(I684,4,4)-K684),CELL("address",Z685))</f>
        <v>G686</v>
      </c>
      <c r="J685" s="135" t="str">
        <f ca="1">IF(J684&gt;=4,(MID(I685,1,1)&amp;MID(I685,2,4)+1),CELL("address",AA685))</f>
        <v>G687</v>
      </c>
      <c r="K685" s="135" t="str">
        <f ca="1">IF(J684&gt;=5,(MID(J685,1,1)&amp;MID(J685,2,4)+1),CELL("address",AB685))</f>
        <v>$AB$685</v>
      </c>
      <c r="L685" s="135" t="str">
        <f ca="1">IF(J684&gt;=6,(MID(K685,1,1)&amp;MID(K685,2,4)+1),CELL("address",AC685))</f>
        <v>$AC$685</v>
      </c>
      <c r="M685" s="135" t="str">
        <f ca="1">IF(J684&gt;=7,(MID(L685,1,1)&amp;MID(L685,2,4)+1),CELL("address",AD685))</f>
        <v>$AD$685</v>
      </c>
      <c r="N685" s="135" t="str">
        <f ca="1">IF(J684&gt;=8,(MID(M685,1,1)&amp;MID(M685,2,4)+1),CELL("address",AE685))</f>
        <v>$AE$685</v>
      </c>
      <c r="O685" s="135" t="str">
        <f ca="1">IF(J684&gt;=9,(MID(N685,1,1)&amp;MID(N685,2,4)+1),CELL("address",AF685))</f>
        <v>$AF$685</v>
      </c>
      <c r="P685" s="135" t="str">
        <f ca="1">IF(J684&gt;=10,(MID(O685,1,1)&amp;MID(O685,2,4)+1),CELL("address",AG685))</f>
        <v>$AG$685</v>
      </c>
      <c r="Q685" s="135" t="str">
        <f ca="1">IF(J684&gt;=11,(MID(P685,1,1)&amp;MID(P685,2,4)+1),CELL("address",AH685))</f>
        <v>$AH$685</v>
      </c>
      <c r="R685" s="135" t="str">
        <f ca="1">IF(J684&gt;=12,(MID(Q685,1,1)&amp;MID(Q685,2,4)+1),CELL("address",AI685))</f>
        <v>$AI$685</v>
      </c>
    </row>
    <row r="686" spans="1:8" ht="15" customHeight="1">
      <c r="A686" s="285"/>
      <c r="B686" s="286"/>
      <c r="C686" s="289"/>
      <c r="D686" s="51" t="s">
        <v>31</v>
      </c>
      <c r="E686" s="53">
        <v>0.005</v>
      </c>
      <c r="F686" s="126"/>
      <c r="G686" s="126" t="str">
        <f>CONCATENATE(D686," - ",E686,", ")</f>
        <v>Misc. Alumn. Scrap - 0.005, </v>
      </c>
      <c r="H686" s="139"/>
    </row>
    <row r="687" spans="1:8" ht="15" customHeight="1">
      <c r="A687" s="58"/>
      <c r="B687" s="61"/>
      <c r="C687" s="22"/>
      <c r="D687" s="127"/>
      <c r="E687" s="115"/>
      <c r="F687" s="126"/>
      <c r="G687" s="126"/>
      <c r="H687" s="139"/>
    </row>
    <row r="688" spans="1:8" ht="15" customHeight="1">
      <c r="A688" s="279"/>
      <c r="B688" s="280"/>
      <c r="C688" s="82"/>
      <c r="D688" s="82"/>
      <c r="E688" s="83">
        <f>SUM(E690:E690)</f>
        <v>0.011</v>
      </c>
      <c r="F688" s="126"/>
      <c r="G688" s="126"/>
      <c r="H688" s="139"/>
    </row>
    <row r="689" spans="1:18" ht="15" customHeight="1">
      <c r="A689" s="274" t="s">
        <v>5</v>
      </c>
      <c r="B689" s="274"/>
      <c r="C689" s="79" t="s">
        <v>17</v>
      </c>
      <c r="D689" s="80" t="s">
        <v>18</v>
      </c>
      <c r="E689" s="79" t="s">
        <v>7</v>
      </c>
      <c r="F689" s="126"/>
      <c r="G689" s="128" t="str">
        <f>CONCATENATE("Misc. Healthy parts/ Non Ferrous  Scrap, Lying at ",C690,". Quantity in MT - ")</f>
        <v>Misc. Healthy parts/ Non Ferrous  Scrap, Lying at CS Malout. Quantity in MT - </v>
      </c>
      <c r="H689" s="177" t="str">
        <f ca="1">CONCATENATE(G689,G690,(INDIRECT(I690)),(INDIRECT(J690)),(INDIRECT(K690)),(INDIRECT(L690)),(INDIRECT(M690)),(INDIRECT(N690)),(INDIRECT(O690)),(INDIRECT(P690)),(INDIRECT(Q690)),(INDIRECT(R690)),".")</f>
        <v>Misc. Healthy parts/ Non Ferrous  Scrap, Lying at CS Malout. Quantity in MT - Brass scrap - 0.011, .</v>
      </c>
      <c r="I689" s="135" t="str">
        <f aca="true" ca="1" t="array" ref="I689">CELL("address",INDEX(G689:G711,MATCH(TRUE,ISBLANK(G689:G711),0)))</f>
        <v>$G$691</v>
      </c>
      <c r="J689" s="135">
        <f aca="true" t="array" ref="J689">MATCH(TRUE,ISBLANK(G689:G711),0)</f>
        <v>3</v>
      </c>
      <c r="K689" s="135">
        <f>J689-3</f>
        <v>0</v>
      </c>
      <c r="L689" s="135"/>
      <c r="M689" s="135"/>
      <c r="N689" s="135"/>
      <c r="O689" s="135"/>
      <c r="P689" s="135"/>
      <c r="Q689" s="135"/>
      <c r="R689" s="135"/>
    </row>
    <row r="690" spans="1:18" ht="15" customHeight="1">
      <c r="A690" s="274" t="s">
        <v>204</v>
      </c>
      <c r="B690" s="274"/>
      <c r="C690" s="256" t="s">
        <v>96</v>
      </c>
      <c r="D690" s="51" t="s">
        <v>23</v>
      </c>
      <c r="E690" s="53">
        <v>0.011</v>
      </c>
      <c r="F690" s="126"/>
      <c r="G690" s="126" t="str">
        <f>CONCATENATE(D690," - ",E690,", ")</f>
        <v>Brass scrap - 0.011, </v>
      </c>
      <c r="H690" s="177"/>
      <c r="I690" s="135" t="str">
        <f ca="1">IF(J689&gt;=3,(MID(I689,2,1)&amp;MID(I689,4,4)-K689),CELL("address",Z690))</f>
        <v>G691</v>
      </c>
      <c r="J690" s="135" t="str">
        <f ca="1">IF(J689&gt;=4,(MID(I690,1,1)&amp;MID(I690,2,4)+1),CELL("address",AA690))</f>
        <v>$AA$690</v>
      </c>
      <c r="K690" s="135" t="str">
        <f ca="1">IF(J689&gt;=5,(MID(J690,1,1)&amp;MID(J690,2,4)+1),CELL("address",AB690))</f>
        <v>$AB$690</v>
      </c>
      <c r="L690" s="135" t="str">
        <f ca="1">IF(J689&gt;=6,(MID(K690,1,1)&amp;MID(K690,2,4)+1),CELL("address",AC690))</f>
        <v>$AC$690</v>
      </c>
      <c r="M690" s="135" t="str">
        <f ca="1">IF(J689&gt;=7,(MID(L690,1,1)&amp;MID(L690,2,4)+1),CELL("address",AD690))</f>
        <v>$AD$690</v>
      </c>
      <c r="N690" s="135" t="str">
        <f ca="1">IF(J689&gt;=8,(MID(M690,1,1)&amp;MID(M690,2,4)+1),CELL("address",AE690))</f>
        <v>$AE$690</v>
      </c>
      <c r="O690" s="135" t="str">
        <f ca="1">IF(J689&gt;=9,(MID(N690,1,1)&amp;MID(N690,2,4)+1),CELL("address",AF690))</f>
        <v>$AF$690</v>
      </c>
      <c r="P690" s="135" t="str">
        <f ca="1">IF(J689&gt;=10,(MID(O690,1,1)&amp;MID(O690,2,4)+1),CELL("address",AG690))</f>
        <v>$AG$690</v>
      </c>
      <c r="Q690" s="135" t="str">
        <f ca="1">IF(J689&gt;=11,(MID(P690,1,1)&amp;MID(P690,2,4)+1),CELL("address",AH690))</f>
        <v>$AH$690</v>
      </c>
      <c r="R690" s="135" t="str">
        <f ca="1">IF(J689&gt;=12,(MID(Q690,1,1)&amp;MID(Q690,2,4)+1),CELL("address",AI690))</f>
        <v>$AI$690</v>
      </c>
    </row>
    <row r="691" spans="1:8" ht="15" customHeight="1">
      <c r="A691" s="310"/>
      <c r="B691" s="311"/>
      <c r="C691" s="126"/>
      <c r="D691" s="126"/>
      <c r="E691" s="126"/>
      <c r="F691" s="126"/>
      <c r="G691" s="126"/>
      <c r="H691" s="139"/>
    </row>
    <row r="692" spans="1:8" ht="15" customHeight="1">
      <c r="A692" s="279"/>
      <c r="B692" s="280"/>
      <c r="C692" s="82"/>
      <c r="D692" s="82"/>
      <c r="E692" s="83">
        <f>SUM(E694:E694)</f>
        <v>1</v>
      </c>
      <c r="F692" s="126"/>
      <c r="G692" s="126"/>
      <c r="H692" s="139"/>
    </row>
    <row r="693" spans="1:18" ht="15" customHeight="1">
      <c r="A693" s="274" t="s">
        <v>5</v>
      </c>
      <c r="B693" s="274"/>
      <c r="C693" s="79" t="s">
        <v>17</v>
      </c>
      <c r="D693" s="80" t="s">
        <v>18</v>
      </c>
      <c r="E693" s="79" t="s">
        <v>7</v>
      </c>
      <c r="F693" s="126"/>
      <c r="G693" s="128" t="str">
        <f>CONCATENATE("Misc. Healthy parts/ Non Ferrous  Scrap, Lying at ",C694,". Quantity in MT - ")</f>
        <v>Misc. Healthy parts/ Non Ferrous  Scrap, Lying at TRY Bathinda. Quantity in MT - </v>
      </c>
      <c r="H693" s="177" t="str">
        <f ca="1">CONCATENATE(G693,G694,(INDIRECT(I694)),(INDIRECT(J694)),(INDIRECT(K694)),(INDIRECT(L694)),(INDIRECT(M694)),(INDIRECT(N694)),(INDIRECT(O694)),(INDIRECT(P694)),(INDIRECT(Q694)),(INDIRECT(R694)),".")</f>
        <v>Misc. Healthy parts/ Non Ferrous  Scrap, Lying at TRY Bathinda. Quantity in MT - Brass scrap - 1, .</v>
      </c>
      <c r="I693" s="135" t="str">
        <f aca="true" ca="1" t="array" ref="I693">CELL("address",INDEX(G693:G715,MATCH(TRUE,ISBLANK(G693:G715),0)))</f>
        <v>$G$695</v>
      </c>
      <c r="J693" s="135">
        <f aca="true" t="array" ref="J693">MATCH(TRUE,ISBLANK(G693:G715),0)</f>
        <v>3</v>
      </c>
      <c r="K693" s="135">
        <f>J693-3</f>
        <v>0</v>
      </c>
      <c r="L693" s="135"/>
      <c r="M693" s="135"/>
      <c r="N693" s="135"/>
      <c r="O693" s="135"/>
      <c r="P693" s="135"/>
      <c r="Q693" s="135"/>
      <c r="R693" s="135"/>
    </row>
    <row r="694" spans="1:18" ht="15" customHeight="1">
      <c r="A694" s="274" t="s">
        <v>211</v>
      </c>
      <c r="B694" s="274"/>
      <c r="C694" s="256" t="s">
        <v>36</v>
      </c>
      <c r="D694" s="46" t="s">
        <v>23</v>
      </c>
      <c r="E694" s="52">
        <v>1</v>
      </c>
      <c r="F694" s="126"/>
      <c r="G694" s="126" t="str">
        <f>CONCATENATE(D694," - ",E694,", ")</f>
        <v>Brass scrap - 1, </v>
      </c>
      <c r="H694" s="177"/>
      <c r="I694" s="135" t="str">
        <f ca="1">IF(J693&gt;=3,(MID(I693,2,1)&amp;MID(I693,4,4)-K693),CELL("address",Z694))</f>
        <v>G695</v>
      </c>
      <c r="J694" s="135" t="str">
        <f ca="1">IF(J693&gt;=4,(MID(I694,1,1)&amp;MID(I694,2,4)+1),CELL("address",AA694))</f>
        <v>$AA$694</v>
      </c>
      <c r="K694" s="135" t="str">
        <f ca="1">IF(J693&gt;=5,(MID(J694,1,1)&amp;MID(J694,2,4)+1),CELL("address",AB694))</f>
        <v>$AB$694</v>
      </c>
      <c r="L694" s="135" t="str">
        <f ca="1">IF(J693&gt;=6,(MID(K694,1,1)&amp;MID(K694,2,4)+1),CELL("address",AC694))</f>
        <v>$AC$694</v>
      </c>
      <c r="M694" s="135" t="str">
        <f ca="1">IF(J693&gt;=7,(MID(L694,1,1)&amp;MID(L694,2,4)+1),CELL("address",AD694))</f>
        <v>$AD$694</v>
      </c>
      <c r="N694" s="135" t="str">
        <f ca="1">IF(J693&gt;=8,(MID(M694,1,1)&amp;MID(M694,2,4)+1),CELL("address",AE694))</f>
        <v>$AE$694</v>
      </c>
      <c r="O694" s="135" t="str">
        <f ca="1">IF(J693&gt;=9,(MID(N694,1,1)&amp;MID(N694,2,4)+1),CELL("address",AF694))</f>
        <v>$AF$694</v>
      </c>
      <c r="P694" s="135" t="str">
        <f ca="1">IF(J693&gt;=10,(MID(O694,1,1)&amp;MID(O694,2,4)+1),CELL("address",AG694))</f>
        <v>$AG$694</v>
      </c>
      <c r="Q694" s="135" t="str">
        <f ca="1">IF(J693&gt;=11,(MID(P694,1,1)&amp;MID(P694,2,4)+1),CELL("address",AH694))</f>
        <v>$AH$694</v>
      </c>
      <c r="R694" s="135" t="str">
        <f ca="1">IF(J693&gt;=12,(MID(Q694,1,1)&amp;MID(Q694,2,4)+1),CELL("address",AI694))</f>
        <v>$AI$694</v>
      </c>
    </row>
    <row r="695" spans="1:8" ht="15" customHeight="1">
      <c r="A695" s="310"/>
      <c r="B695" s="311"/>
      <c r="C695" s="126"/>
      <c r="D695" s="126"/>
      <c r="E695" s="126"/>
      <c r="F695" s="126"/>
      <c r="G695" s="126"/>
      <c r="H695" s="139"/>
    </row>
    <row r="696" spans="1:8" ht="15" customHeight="1">
      <c r="A696" s="279"/>
      <c r="B696" s="280"/>
      <c r="C696" s="82"/>
      <c r="D696" s="82"/>
      <c r="E696" s="83">
        <f>SUM(E698:E698)</f>
        <v>1</v>
      </c>
      <c r="F696" s="126"/>
      <c r="G696" s="126"/>
      <c r="H696" s="139"/>
    </row>
    <row r="697" spans="1:18" ht="15" customHeight="1">
      <c r="A697" s="274" t="s">
        <v>5</v>
      </c>
      <c r="B697" s="274"/>
      <c r="C697" s="79" t="s">
        <v>17</v>
      </c>
      <c r="D697" s="80" t="s">
        <v>18</v>
      </c>
      <c r="E697" s="79" t="s">
        <v>7</v>
      </c>
      <c r="F697" s="126"/>
      <c r="G697" s="128" t="str">
        <f>CONCATENATE("Misc. Healthy parts/ Non Ferrous  Scrap, Lying at ",C698,". Quantity in MT - ")</f>
        <v>Misc. Healthy parts/ Non Ferrous  Scrap, Lying at TRY Bathinda. Quantity in MT - </v>
      </c>
      <c r="H697" s="177" t="str">
        <f ca="1">CONCATENATE(G697,G698,(INDIRECT(I698)),(INDIRECT(J698)),(INDIRECT(K698)),(INDIRECT(L698)),(INDIRECT(M698)),(INDIRECT(N698)),(INDIRECT(O698)),(INDIRECT(P698)),(INDIRECT(Q698)),(INDIRECT(R698)),".")</f>
        <v>Misc. Healthy parts/ Non Ferrous  Scrap, Lying at TRY Bathinda. Quantity in MT - Brass scrap - 1, .</v>
      </c>
      <c r="I697" s="135" t="str">
        <f aca="true" ca="1" t="array" ref="I697">CELL("address",INDEX(G697:G719,MATCH(TRUE,ISBLANK(G697:G719),0)))</f>
        <v>$G$699</v>
      </c>
      <c r="J697" s="135">
        <f aca="true" t="array" ref="J697">MATCH(TRUE,ISBLANK(G697:G719),0)</f>
        <v>3</v>
      </c>
      <c r="K697" s="135">
        <f>J697-3</f>
        <v>0</v>
      </c>
      <c r="L697" s="135"/>
      <c r="M697" s="135"/>
      <c r="N697" s="135"/>
      <c r="O697" s="135"/>
      <c r="P697" s="135"/>
      <c r="Q697" s="135"/>
      <c r="R697" s="135"/>
    </row>
    <row r="698" spans="1:18" ht="15" customHeight="1">
      <c r="A698" s="274" t="s">
        <v>218</v>
      </c>
      <c r="B698" s="274"/>
      <c r="C698" s="256" t="s">
        <v>36</v>
      </c>
      <c r="D698" s="46" t="s">
        <v>23</v>
      </c>
      <c r="E698" s="52">
        <v>1</v>
      </c>
      <c r="F698" s="126"/>
      <c r="G698" s="126" t="str">
        <f>CONCATENATE(D698," - ",E698,", ")</f>
        <v>Brass scrap - 1, </v>
      </c>
      <c r="H698" s="177"/>
      <c r="I698" s="135" t="str">
        <f ca="1">IF(J697&gt;=3,(MID(I697,2,1)&amp;MID(I697,4,4)-K697),CELL("address",Z698))</f>
        <v>G699</v>
      </c>
      <c r="J698" s="135" t="str">
        <f ca="1">IF(J697&gt;=4,(MID(I698,1,1)&amp;MID(I698,2,4)+1),CELL("address",AA698))</f>
        <v>$AA$698</v>
      </c>
      <c r="K698" s="135" t="str">
        <f ca="1">IF(J697&gt;=5,(MID(J698,1,1)&amp;MID(J698,2,4)+1),CELL("address",AB698))</f>
        <v>$AB$698</v>
      </c>
      <c r="L698" s="135" t="str">
        <f ca="1">IF(J697&gt;=6,(MID(K698,1,1)&amp;MID(K698,2,4)+1),CELL("address",AC698))</f>
        <v>$AC$698</v>
      </c>
      <c r="M698" s="135" t="str">
        <f ca="1">IF(J697&gt;=7,(MID(L698,1,1)&amp;MID(L698,2,4)+1),CELL("address",AD698))</f>
        <v>$AD$698</v>
      </c>
      <c r="N698" s="135" t="str">
        <f ca="1">IF(J697&gt;=8,(MID(M698,1,1)&amp;MID(M698,2,4)+1),CELL("address",AE698))</f>
        <v>$AE$698</v>
      </c>
      <c r="O698" s="135" t="str">
        <f ca="1">IF(J697&gt;=9,(MID(N698,1,1)&amp;MID(N698,2,4)+1),CELL("address",AF698))</f>
        <v>$AF$698</v>
      </c>
      <c r="P698" s="135" t="str">
        <f ca="1">IF(J697&gt;=10,(MID(O698,1,1)&amp;MID(O698,2,4)+1),CELL("address",AG698))</f>
        <v>$AG$698</v>
      </c>
      <c r="Q698" s="135" t="str">
        <f ca="1">IF(J697&gt;=11,(MID(P698,1,1)&amp;MID(P698,2,4)+1),CELL("address",AH698))</f>
        <v>$AH$698</v>
      </c>
      <c r="R698" s="135" t="str">
        <f ca="1">IF(J697&gt;=12,(MID(Q698,1,1)&amp;MID(Q698,2,4)+1),CELL("address",AI698))</f>
        <v>$AI$698</v>
      </c>
    </row>
    <row r="699" spans="1:8" ht="15" customHeight="1">
      <c r="A699" s="310"/>
      <c r="B699" s="311"/>
      <c r="C699" s="126"/>
      <c r="D699" s="126"/>
      <c r="E699" s="126"/>
      <c r="F699" s="126"/>
      <c r="G699" s="126"/>
      <c r="H699" s="139"/>
    </row>
    <row r="700" spans="1:8" ht="15" customHeight="1">
      <c r="A700" s="279"/>
      <c r="B700" s="280"/>
      <c r="C700" s="82"/>
      <c r="D700" s="82"/>
      <c r="E700" s="83">
        <f>SUM(E702:E702)</f>
        <v>1</v>
      </c>
      <c r="F700" s="126"/>
      <c r="G700" s="126"/>
      <c r="H700" s="139"/>
    </row>
    <row r="701" spans="1:18" ht="15" customHeight="1">
      <c r="A701" s="274" t="s">
        <v>5</v>
      </c>
      <c r="B701" s="274"/>
      <c r="C701" s="79" t="s">
        <v>17</v>
      </c>
      <c r="D701" s="80" t="s">
        <v>18</v>
      </c>
      <c r="E701" s="79" t="s">
        <v>7</v>
      </c>
      <c r="F701" s="126"/>
      <c r="G701" s="128" t="str">
        <f>CONCATENATE("Misc. Healthy parts/ Non Ferrous  Scrap, Lying at ",C702,". Quantity in MT - ")</f>
        <v>Misc. Healthy parts/ Non Ferrous  Scrap, Lying at TRY Bathinda. Quantity in MT - </v>
      </c>
      <c r="H701" s="177" t="str">
        <f ca="1">CONCATENATE(G701,G702,(INDIRECT(I702)),(INDIRECT(J702)),(INDIRECT(K702)),(INDIRECT(L702)),(INDIRECT(M702)),(INDIRECT(N702)),(INDIRECT(O702)),(INDIRECT(P702)),(INDIRECT(Q702)),(INDIRECT(R702)),".")</f>
        <v>Misc. Healthy parts/ Non Ferrous  Scrap, Lying at TRY Bathinda. Quantity in MT - Brass scrap - 1, .</v>
      </c>
      <c r="I701" s="135" t="str">
        <f aca="true" ca="1" t="array" ref="I701">CELL("address",INDEX(G701:G723,MATCH(TRUE,ISBLANK(G701:G723),0)))</f>
        <v>$G$703</v>
      </c>
      <c r="J701" s="135">
        <f aca="true" t="array" ref="J701">MATCH(TRUE,ISBLANK(G701:G723),0)</f>
        <v>3</v>
      </c>
      <c r="K701" s="135">
        <f>J701-3</f>
        <v>0</v>
      </c>
      <c r="L701" s="135"/>
      <c r="M701" s="135"/>
      <c r="N701" s="135"/>
      <c r="O701" s="135"/>
      <c r="P701" s="135"/>
      <c r="Q701" s="135"/>
      <c r="R701" s="135"/>
    </row>
    <row r="702" spans="1:18" ht="15" customHeight="1">
      <c r="A702" s="274" t="s">
        <v>247</v>
      </c>
      <c r="B702" s="274"/>
      <c r="C702" s="256" t="s">
        <v>36</v>
      </c>
      <c r="D702" s="46" t="s">
        <v>23</v>
      </c>
      <c r="E702" s="52">
        <v>1</v>
      </c>
      <c r="F702" s="126"/>
      <c r="G702" s="126" t="str">
        <f>CONCATENATE(D702," - ",E702,", ")</f>
        <v>Brass scrap - 1, </v>
      </c>
      <c r="H702" s="177"/>
      <c r="I702" s="135" t="str">
        <f ca="1">IF(J701&gt;=3,(MID(I701,2,1)&amp;MID(I701,4,4)-K701),CELL("address",Z702))</f>
        <v>G703</v>
      </c>
      <c r="J702" s="135" t="str">
        <f ca="1">IF(J701&gt;=4,(MID(I702,1,1)&amp;MID(I702,2,4)+1),CELL("address",AA702))</f>
        <v>$AA$702</v>
      </c>
      <c r="K702" s="135" t="str">
        <f ca="1">IF(J701&gt;=5,(MID(J702,1,1)&amp;MID(J702,2,4)+1),CELL("address",AB702))</f>
        <v>$AB$702</v>
      </c>
      <c r="L702" s="135" t="str">
        <f ca="1">IF(J701&gt;=6,(MID(K702,1,1)&amp;MID(K702,2,4)+1),CELL("address",AC702))</f>
        <v>$AC$702</v>
      </c>
      <c r="M702" s="135" t="str">
        <f ca="1">IF(J701&gt;=7,(MID(L702,1,1)&amp;MID(L702,2,4)+1),CELL("address",AD702))</f>
        <v>$AD$702</v>
      </c>
      <c r="N702" s="135" t="str">
        <f ca="1">IF(J701&gt;=8,(MID(M702,1,1)&amp;MID(M702,2,4)+1),CELL("address",AE702))</f>
        <v>$AE$702</v>
      </c>
      <c r="O702" s="135" t="str">
        <f ca="1">IF(J701&gt;=9,(MID(N702,1,1)&amp;MID(N702,2,4)+1),CELL("address",AF702))</f>
        <v>$AF$702</v>
      </c>
      <c r="P702" s="135" t="str">
        <f ca="1">IF(J701&gt;=10,(MID(O702,1,1)&amp;MID(O702,2,4)+1),CELL("address",AG702))</f>
        <v>$AG$702</v>
      </c>
      <c r="Q702" s="135" t="str">
        <f ca="1">IF(J701&gt;=11,(MID(P702,1,1)&amp;MID(P702,2,4)+1),CELL("address",AH702))</f>
        <v>$AH$702</v>
      </c>
      <c r="R702" s="135" t="str">
        <f ca="1">IF(J701&gt;=12,(MID(Q702,1,1)&amp;MID(Q702,2,4)+1),CELL("address",AI702))</f>
        <v>$AI$702</v>
      </c>
    </row>
    <row r="703" spans="1:8" ht="15" customHeight="1">
      <c r="A703" s="310"/>
      <c r="B703" s="311"/>
      <c r="C703" s="126"/>
      <c r="D703" s="126"/>
      <c r="E703" s="126"/>
      <c r="F703" s="126"/>
      <c r="G703" s="126"/>
      <c r="H703" s="139"/>
    </row>
    <row r="704" spans="1:8" ht="15" customHeight="1">
      <c r="A704" s="279"/>
      <c r="B704" s="280"/>
      <c r="C704" s="82"/>
      <c r="D704" s="82"/>
      <c r="E704" s="83">
        <f>SUM(E706:E706)</f>
        <v>1</v>
      </c>
      <c r="F704" s="309"/>
      <c r="G704" s="309"/>
      <c r="H704" s="139"/>
    </row>
    <row r="705" spans="1:18" ht="15" customHeight="1">
      <c r="A705" s="274" t="s">
        <v>5</v>
      </c>
      <c r="B705" s="274"/>
      <c r="C705" s="79" t="s">
        <v>17</v>
      </c>
      <c r="D705" s="80" t="s">
        <v>18</v>
      </c>
      <c r="E705" s="79" t="s">
        <v>7</v>
      </c>
      <c r="F705" s="126"/>
      <c r="G705" s="128" t="str">
        <f>CONCATENATE("Misc. Healthy parts/ Non Ferrous  Scrap, Lying at ",C706,". Quantity in MT - ")</f>
        <v>Misc. Healthy parts/ Non Ferrous  Scrap, Lying at TRY Bathinda. Quantity in MT - </v>
      </c>
      <c r="H705" s="177" t="str">
        <f ca="1">CONCATENATE(G705,G706,(INDIRECT(I706)),(INDIRECT(J706)),(INDIRECT(K706)),(INDIRECT(L706)),(INDIRECT(M706)),(INDIRECT(N706)),(INDIRECT(O706)),(INDIRECT(P706)),(INDIRECT(Q706)),(INDIRECT(R706)),".")</f>
        <v>Misc. Healthy parts/ Non Ferrous  Scrap, Lying at TRY Bathinda. Quantity in MT - Brass scrap - 1, .</v>
      </c>
      <c r="I705" s="135" t="str">
        <f aca="true" ca="1" t="array" ref="I705">CELL("address",INDEX(G705:G727,MATCH(TRUE,ISBLANK(G705:G727),0)))</f>
        <v>$G$707</v>
      </c>
      <c r="J705" s="135">
        <f aca="true" t="array" ref="J705">MATCH(TRUE,ISBLANK(G705:G727),0)</f>
        <v>3</v>
      </c>
      <c r="K705" s="135">
        <f>J705-3</f>
        <v>0</v>
      </c>
      <c r="L705" s="135"/>
      <c r="M705" s="135"/>
      <c r="N705" s="135"/>
      <c r="O705" s="135"/>
      <c r="P705" s="135"/>
      <c r="Q705" s="135"/>
      <c r="R705" s="135"/>
    </row>
    <row r="706" spans="1:18" ht="15" customHeight="1">
      <c r="A706" s="274" t="s">
        <v>202</v>
      </c>
      <c r="B706" s="274"/>
      <c r="C706" s="256" t="s">
        <v>36</v>
      </c>
      <c r="D706" s="46" t="s">
        <v>23</v>
      </c>
      <c r="E706" s="52">
        <v>1</v>
      </c>
      <c r="F706" s="126"/>
      <c r="G706" s="126" t="str">
        <f>CONCATENATE(D706," - ",E706,", ")</f>
        <v>Brass scrap - 1, </v>
      </c>
      <c r="H706" s="177"/>
      <c r="I706" s="135" t="str">
        <f ca="1">IF(J705&gt;=3,(MID(I705,2,1)&amp;MID(I705,4,4)-K705),CELL("address",Z706))</f>
        <v>G707</v>
      </c>
      <c r="J706" s="135" t="str">
        <f ca="1">IF(J705&gt;=4,(MID(I706,1,1)&amp;MID(I706,2,4)+1),CELL("address",AA706))</f>
        <v>$AA$706</v>
      </c>
      <c r="K706" s="135" t="str">
        <f ca="1">IF(J705&gt;=5,(MID(J706,1,1)&amp;MID(J706,2,4)+1),CELL("address",AB706))</f>
        <v>$AB$706</v>
      </c>
      <c r="L706" s="135" t="str">
        <f ca="1">IF(J705&gt;=6,(MID(K706,1,1)&amp;MID(K706,2,4)+1),CELL("address",AC706))</f>
        <v>$AC$706</v>
      </c>
      <c r="M706" s="135" t="str">
        <f ca="1">IF(J705&gt;=7,(MID(L706,1,1)&amp;MID(L706,2,4)+1),CELL("address",AD706))</f>
        <v>$AD$706</v>
      </c>
      <c r="N706" s="135" t="str">
        <f ca="1">IF(J705&gt;=8,(MID(M706,1,1)&amp;MID(M706,2,4)+1),CELL("address",AE706))</f>
        <v>$AE$706</v>
      </c>
      <c r="O706" s="135" t="str">
        <f ca="1">IF(J705&gt;=9,(MID(N706,1,1)&amp;MID(N706,2,4)+1),CELL("address",AF706))</f>
        <v>$AF$706</v>
      </c>
      <c r="P706" s="135" t="str">
        <f ca="1">IF(J705&gt;=10,(MID(O706,1,1)&amp;MID(O706,2,4)+1),CELL("address",AG706))</f>
        <v>$AG$706</v>
      </c>
      <c r="Q706" s="135" t="str">
        <f ca="1">IF(J705&gt;=11,(MID(P706,1,1)&amp;MID(P706,2,4)+1),CELL("address",AH706))</f>
        <v>$AH$706</v>
      </c>
      <c r="R706" s="135" t="str">
        <f ca="1">IF(J705&gt;=12,(MID(Q706,1,1)&amp;MID(Q706,2,4)+1),CELL("address",AI706))</f>
        <v>$AI$706</v>
      </c>
    </row>
    <row r="707" spans="1:8" ht="15" customHeight="1">
      <c r="A707" s="58"/>
      <c r="B707" s="61"/>
      <c r="C707" s="22"/>
      <c r="D707" s="61"/>
      <c r="E707" s="133"/>
      <c r="F707" s="126"/>
      <c r="G707" s="126"/>
      <c r="H707" s="140"/>
    </row>
    <row r="708" spans="1:8" ht="15" customHeight="1">
      <c r="A708" s="279"/>
      <c r="B708" s="280"/>
      <c r="C708" s="82"/>
      <c r="D708" s="82"/>
      <c r="E708" s="83">
        <f>SUM(E710:E712)</f>
        <v>2.129</v>
      </c>
      <c r="F708" s="126"/>
      <c r="G708" s="126"/>
      <c r="H708" s="140"/>
    </row>
    <row r="709" spans="1:18" ht="15" customHeight="1">
      <c r="A709" s="274" t="s">
        <v>5</v>
      </c>
      <c r="B709" s="274"/>
      <c r="C709" s="79" t="s">
        <v>17</v>
      </c>
      <c r="D709" s="80" t="s">
        <v>18</v>
      </c>
      <c r="E709" s="79" t="s">
        <v>7</v>
      </c>
      <c r="F709" s="126"/>
      <c r="G709" s="128" t="str">
        <f>CONCATENATE("Misc. Healthy parts/ Non Ferrous  Scrap, Lying at ",C710,". Quantity in MT - ")</f>
        <v>Misc. Healthy parts/ Non Ferrous  Scrap, Lying at TRY Kotkapura. Quantity in MT - </v>
      </c>
      <c r="H709" s="177" t="str">
        <f ca="1">CONCATENATE(G709,G710,(INDIRECT(I710)),(INDIRECT(J710)),(INDIRECT(K710)),(INDIRECT(L710)),(INDIRECT(M710)),(INDIRECT(N710)),(INDIRECT(O710)),(INDIRECT(P710)),(INDIRECT(Q710)),(INDIRECT(R710)),".")</f>
        <v>Misc. Healthy parts/ Non Ferrous  Scrap, Lying at TRY Kotkapura. Quantity in MT - Brass scrap - 1.754, Misc. Alumn. Scrap - 0.269, Iron scrap - 0.106, .</v>
      </c>
      <c r="I709" s="135" t="str">
        <f aca="true" ca="1" t="array" ref="I709">CELL("address",INDEX(G709:G731,MATCH(TRUE,ISBLANK(G709:G731),0)))</f>
        <v>$G$713</v>
      </c>
      <c r="J709" s="135">
        <f aca="true" t="array" ref="J709">MATCH(TRUE,ISBLANK(G709:G731),0)</f>
        <v>5</v>
      </c>
      <c r="K709" s="135">
        <f>J709-3</f>
        <v>2</v>
      </c>
      <c r="L709" s="135"/>
      <c r="M709" s="135"/>
      <c r="N709" s="135"/>
      <c r="O709" s="135"/>
      <c r="P709" s="135"/>
      <c r="Q709" s="135"/>
      <c r="R709" s="135"/>
    </row>
    <row r="710" spans="1:18" ht="15" customHeight="1">
      <c r="A710" s="274" t="s">
        <v>203</v>
      </c>
      <c r="B710" s="274"/>
      <c r="C710" s="277" t="s">
        <v>261</v>
      </c>
      <c r="D710" s="51" t="s">
        <v>23</v>
      </c>
      <c r="E710" s="53">
        <v>1.754</v>
      </c>
      <c r="F710" s="126"/>
      <c r="G710" s="126" t="str">
        <f>CONCATENATE(D710," - ",E710,", ")</f>
        <v>Brass scrap - 1.754, </v>
      </c>
      <c r="H710" s="177"/>
      <c r="I710" s="135" t="str">
        <f ca="1">IF(J709&gt;=3,(MID(I709,2,1)&amp;MID(I709,4,4)-K709),CELL("address",Z710))</f>
        <v>G711</v>
      </c>
      <c r="J710" s="135" t="str">
        <f ca="1">IF(J709&gt;=4,(MID(I710,1,1)&amp;MID(I710,2,4)+1),CELL("address",AA710))</f>
        <v>G712</v>
      </c>
      <c r="K710" s="135" t="str">
        <f ca="1">IF(J709&gt;=5,(MID(J710,1,1)&amp;MID(J710,2,4)+1),CELL("address",AB710))</f>
        <v>G713</v>
      </c>
      <c r="L710" s="135" t="str">
        <f ca="1">IF(J709&gt;=6,(MID(K710,1,1)&amp;MID(K710,2,4)+1),CELL("address",AC710))</f>
        <v>$AC$710</v>
      </c>
      <c r="M710" s="135" t="str">
        <f ca="1">IF(J709&gt;=7,(MID(L710,1,1)&amp;MID(L710,2,4)+1),CELL("address",AD710))</f>
        <v>$AD$710</v>
      </c>
      <c r="N710" s="135" t="str">
        <f ca="1">IF(J709&gt;=8,(MID(M710,1,1)&amp;MID(M710,2,4)+1),CELL("address",AE710))</f>
        <v>$AE$710</v>
      </c>
      <c r="O710" s="135" t="str">
        <f ca="1">IF(J709&gt;=9,(MID(N710,1,1)&amp;MID(N710,2,4)+1),CELL("address",AF710))</f>
        <v>$AF$710</v>
      </c>
      <c r="P710" s="135" t="str">
        <f ca="1">IF(J709&gt;=10,(MID(O710,1,1)&amp;MID(O710,2,4)+1),CELL("address",AG710))</f>
        <v>$AG$710</v>
      </c>
      <c r="Q710" s="135" t="str">
        <f ca="1">IF(J709&gt;=11,(MID(P710,1,1)&amp;MID(P710,2,4)+1),CELL("address",AH710))</f>
        <v>$AH$710</v>
      </c>
      <c r="R710" s="135" t="str">
        <f ca="1">IF(J709&gt;=12,(MID(Q710,1,1)&amp;MID(Q710,2,4)+1),CELL("address",AI710))</f>
        <v>$AI$710</v>
      </c>
    </row>
    <row r="711" spans="1:8" ht="15" customHeight="1">
      <c r="A711" s="274"/>
      <c r="B711" s="274"/>
      <c r="C711" s="277"/>
      <c r="D711" s="51" t="s">
        <v>31</v>
      </c>
      <c r="E711" s="79">
        <v>0.269</v>
      </c>
      <c r="F711" s="126"/>
      <c r="G711" s="126" t="str">
        <f>CONCATENATE(D711," - ",E711,", ")</f>
        <v>Misc. Alumn. Scrap - 0.269, </v>
      </c>
      <c r="H711" s="140"/>
    </row>
    <row r="712" spans="1:8" ht="15" customHeight="1">
      <c r="A712" s="274"/>
      <c r="B712" s="274"/>
      <c r="C712" s="277"/>
      <c r="D712" s="46" t="s">
        <v>27</v>
      </c>
      <c r="E712" s="79">
        <v>0.106</v>
      </c>
      <c r="F712" s="126"/>
      <c r="G712" s="143" t="str">
        <f>CONCATENATE(D712," - ",E712,", ")</f>
        <v>Iron scrap - 0.106, </v>
      </c>
      <c r="H712" s="139"/>
    </row>
    <row r="713" spans="1:8" ht="15" customHeight="1">
      <c r="A713" s="293"/>
      <c r="B713" s="294"/>
      <c r="C713" s="256"/>
      <c r="D713" s="257"/>
      <c r="E713" s="148"/>
      <c r="F713" s="126"/>
      <c r="G713" s="126"/>
      <c r="H713" s="139"/>
    </row>
    <row r="714" spans="1:8" ht="15" customHeight="1">
      <c r="A714" s="279"/>
      <c r="B714" s="280"/>
      <c r="C714" s="82"/>
      <c r="D714" s="82"/>
      <c r="E714" s="83">
        <f>SUM(E716:E719)</f>
        <v>1.557</v>
      </c>
      <c r="F714" s="126"/>
      <c r="G714" s="126"/>
      <c r="H714" s="139"/>
    </row>
    <row r="715" spans="1:18" ht="15" customHeight="1">
      <c r="A715" s="293" t="s">
        <v>5</v>
      </c>
      <c r="B715" s="294"/>
      <c r="C715" s="79" t="s">
        <v>17</v>
      </c>
      <c r="D715" s="80" t="s">
        <v>18</v>
      </c>
      <c r="E715" s="79" t="s">
        <v>7</v>
      </c>
      <c r="F715" s="126"/>
      <c r="G715" s="128" t="str">
        <f>CONCATENATE("Misc. Healthy parts/ Non Ferrous  Scrap, Lying at ",C716,". Quantity in MT - ")</f>
        <v>Misc. Healthy parts/ Non Ferrous  Scrap, Lying at TRY Mansa. Quantity in MT - </v>
      </c>
      <c r="H715" s="177" t="str">
        <f ca="1">CONCATENATE(G715,G716,(INDIRECT(I716)),(INDIRECT(J716)),(INDIRECT(K716)),(INDIRECT(L716)),(INDIRECT(M716)),(INDIRECT(N716)),(INDIRECT(O716)),(INDIRECT(P716)),(INDIRECT(Q716)),(INDIRECT(R716)),".")</f>
        <v>Misc. Healthy parts/ Non Ferrous  Scrap, Lying at TRY Mansa. Quantity in MT - Brass scrap - 1.302, Misc. Aluminium scrap - 0.147, Burnt Cu scrap - 0.027,  Iron scrap - 0.081, .</v>
      </c>
      <c r="I715" s="135" t="str">
        <f aca="true" ca="1" t="array" ref="I715">CELL("address",INDEX(G715:G737,MATCH(TRUE,ISBLANK(G715:G737),0)))</f>
        <v>$G$720</v>
      </c>
      <c r="J715" s="135">
        <f aca="true" t="array" ref="J715">MATCH(TRUE,ISBLANK(G715:G737),0)</f>
        <v>6</v>
      </c>
      <c r="K715" s="135">
        <f>J715-3</f>
        <v>3</v>
      </c>
      <c r="L715" s="135"/>
      <c r="M715" s="135"/>
      <c r="N715" s="135"/>
      <c r="O715" s="135"/>
      <c r="P715" s="135"/>
      <c r="Q715" s="135"/>
      <c r="R715" s="135"/>
    </row>
    <row r="716" spans="1:18" ht="15" customHeight="1">
      <c r="A716" s="274" t="s">
        <v>248</v>
      </c>
      <c r="B716" s="274"/>
      <c r="C716" s="277" t="s">
        <v>173</v>
      </c>
      <c r="D716" s="46" t="s">
        <v>23</v>
      </c>
      <c r="E716" s="52">
        <v>1.302</v>
      </c>
      <c r="F716" s="126"/>
      <c r="G716" s="126" t="str">
        <f>CONCATENATE(D716," - ",E716,", ")</f>
        <v>Brass scrap - 1.302, </v>
      </c>
      <c r="H716" s="177"/>
      <c r="I716" s="135" t="str">
        <f ca="1">IF(J715&gt;=3,(MID(I715,2,1)&amp;MID(I715,4,4)-K715),CELL("address",Z716))</f>
        <v>G717</v>
      </c>
      <c r="J716" s="135" t="str">
        <f ca="1">IF(J715&gt;=4,(MID(I716,1,1)&amp;MID(I716,2,4)+1),CELL("address",AA716))</f>
        <v>G718</v>
      </c>
      <c r="K716" s="135" t="str">
        <f ca="1">IF(J715&gt;=5,(MID(J716,1,1)&amp;MID(J716,2,4)+1),CELL("address",AB716))</f>
        <v>G719</v>
      </c>
      <c r="L716" s="135" t="str">
        <f ca="1">IF(J715&gt;=6,(MID(K716,1,1)&amp;MID(K716,2,4)+1),CELL("address",AC716))</f>
        <v>G720</v>
      </c>
      <c r="M716" s="135" t="str">
        <f ca="1">IF(J715&gt;=7,(MID(L716,1,1)&amp;MID(L716,2,4)+1),CELL("address",AD716))</f>
        <v>$AD$716</v>
      </c>
      <c r="N716" s="135" t="str">
        <f ca="1">IF(J715&gt;=8,(MID(M716,1,1)&amp;MID(M716,2,4)+1),CELL("address",AE716))</f>
        <v>$AE$716</v>
      </c>
      <c r="O716" s="135" t="str">
        <f ca="1">IF(J715&gt;=9,(MID(N716,1,1)&amp;MID(N716,2,4)+1),CELL("address",AF716))</f>
        <v>$AF$716</v>
      </c>
      <c r="P716" s="135" t="str">
        <f ca="1">IF(J715&gt;=10,(MID(O716,1,1)&amp;MID(O716,2,4)+1),CELL("address",AG716))</f>
        <v>$AG$716</v>
      </c>
      <c r="Q716" s="135" t="str">
        <f ca="1">IF(J715&gt;=11,(MID(P716,1,1)&amp;MID(P716,2,4)+1),CELL("address",AH716))</f>
        <v>$AH$716</v>
      </c>
      <c r="R716" s="135" t="str">
        <f ca="1">IF(J715&gt;=12,(MID(Q716,1,1)&amp;MID(Q716,2,4)+1),CELL("address",AI716))</f>
        <v>$AI$716</v>
      </c>
    </row>
    <row r="717" spans="1:8" ht="15" customHeight="1">
      <c r="A717" s="274"/>
      <c r="B717" s="274"/>
      <c r="C717" s="277"/>
      <c r="D717" s="46" t="s">
        <v>24</v>
      </c>
      <c r="E717" s="52">
        <v>0.147</v>
      </c>
      <c r="F717" s="126"/>
      <c r="G717" s="126" t="str">
        <f>CONCATENATE(D717," - ",E717,", ")</f>
        <v>Misc. Aluminium scrap - 0.147, </v>
      </c>
      <c r="H717" s="139"/>
    </row>
    <row r="718" spans="1:8" ht="15" customHeight="1">
      <c r="A718" s="274"/>
      <c r="B718" s="274"/>
      <c r="C718" s="277"/>
      <c r="D718" s="46" t="s">
        <v>37</v>
      </c>
      <c r="E718" s="52">
        <v>0.027</v>
      </c>
      <c r="F718" s="126"/>
      <c r="G718" s="126" t="str">
        <f>CONCATENATE(D718," - ",E718,", ")</f>
        <v>Burnt Cu scrap - 0.027, </v>
      </c>
      <c r="H718" s="139"/>
    </row>
    <row r="719" spans="1:8" ht="15" customHeight="1">
      <c r="A719" s="274"/>
      <c r="B719" s="274"/>
      <c r="C719" s="277"/>
      <c r="D719" s="51" t="s">
        <v>76</v>
      </c>
      <c r="E719" s="52">
        <v>0.081</v>
      </c>
      <c r="F719" s="126"/>
      <c r="G719" s="126" t="str">
        <f>CONCATENATE(D719," - ",E719,", ")</f>
        <v> Iron scrap - 0.081, </v>
      </c>
      <c r="H719" s="141"/>
    </row>
    <row r="720" spans="1:8" ht="15" customHeight="1">
      <c r="A720" s="41"/>
      <c r="B720" s="1"/>
      <c r="C720" s="1"/>
      <c r="D720" s="1"/>
      <c r="E720" s="1"/>
      <c r="F720" s="126"/>
      <c r="G720" s="126"/>
      <c r="H720" s="139"/>
    </row>
    <row r="721" spans="1:8" ht="15" customHeight="1">
      <c r="A721" s="279"/>
      <c r="B721" s="280"/>
      <c r="C721" s="82"/>
      <c r="D721" s="82"/>
      <c r="E721" s="83">
        <f>SUM(E723:E727)</f>
        <v>2.086</v>
      </c>
      <c r="F721" s="126"/>
      <c r="G721" s="126"/>
      <c r="H721" s="139"/>
    </row>
    <row r="722" spans="1:18" ht="15" customHeight="1">
      <c r="A722" s="293" t="s">
        <v>5</v>
      </c>
      <c r="B722" s="294"/>
      <c r="C722" s="79" t="s">
        <v>17</v>
      </c>
      <c r="D722" s="80" t="s">
        <v>18</v>
      </c>
      <c r="E722" s="79" t="s">
        <v>7</v>
      </c>
      <c r="F722" s="126"/>
      <c r="G722" s="128" t="str">
        <f>CONCATENATE("Misc. Healthy parts/ Non Ferrous  Scrap, Lying at ",C723,". Quantity in MT - ")</f>
        <v>Misc. Healthy parts/ Non Ferrous  Scrap, Lying at TRY Bhagta Bhai Ka. Quantity in MT - </v>
      </c>
      <c r="H722" s="307" t="str">
        <f ca="1">CONCATENATE(G722,G723,(INDIRECT(I723)),(INDIRECT(J723)),(INDIRECT(K723)),(INDIRECT(L723)),(INDIRECT(M723)),(INDIRECT(N723)),(INDIRECT(O723)),(INDIRECT(P723)),(INDIRECT(Q723)),(INDIRECT(R723)),".")</f>
        <v>Misc. Healthy parts/ Non Ferrous  Scrap, Lying at TRY Bhagta Bhai Ka. Quantity in MT - Brass scrap - 1.22, Misc. Aluminium scrap - 0.151, Burnt Cu scrap - 0.037,  Iron scrap - 0.088, Nuts &amp; Bolts scrap - 0.59, .</v>
      </c>
      <c r="I722" s="135" t="str">
        <f aca="true" ca="1" t="array" ref="I722">CELL("address",INDEX(G722:G744,MATCH(TRUE,ISBLANK(G722:G744),0)))</f>
        <v>$G$728</v>
      </c>
      <c r="J722" s="135">
        <f aca="true" t="array" ref="J722">MATCH(TRUE,ISBLANK(G722:G744),0)</f>
        <v>7</v>
      </c>
      <c r="K722" s="135">
        <f>J722-3</f>
        <v>4</v>
      </c>
      <c r="L722" s="135"/>
      <c r="M722" s="135"/>
      <c r="N722" s="135"/>
      <c r="O722" s="135"/>
      <c r="P722" s="135"/>
      <c r="Q722" s="135"/>
      <c r="R722" s="135"/>
    </row>
    <row r="723" spans="1:18" ht="15" customHeight="1">
      <c r="A723" s="281" t="s">
        <v>263</v>
      </c>
      <c r="B723" s="282"/>
      <c r="C723" s="287" t="s">
        <v>134</v>
      </c>
      <c r="D723" s="46" t="s">
        <v>23</v>
      </c>
      <c r="E723" s="52">
        <v>1.22</v>
      </c>
      <c r="F723" s="126"/>
      <c r="G723" s="126" t="str">
        <f>CONCATENATE(D723," - ",E723,", ")</f>
        <v>Brass scrap - 1.22, </v>
      </c>
      <c r="H723" s="308"/>
      <c r="I723" s="135" t="str">
        <f ca="1">IF(J722&gt;=3,(MID(I722,2,1)&amp;MID(I722,4,4)-K722),CELL("address",Z723))</f>
        <v>G724</v>
      </c>
      <c r="J723" s="135" t="str">
        <f ca="1">IF(J722&gt;=4,(MID(I723,1,1)&amp;MID(I723,2,4)+1),CELL("address",AA723))</f>
        <v>G725</v>
      </c>
      <c r="K723" s="135" t="str">
        <f ca="1">IF(J722&gt;=5,(MID(J723,1,1)&amp;MID(J723,2,4)+1),CELL("address",AB723))</f>
        <v>G726</v>
      </c>
      <c r="L723" s="135" t="str">
        <f ca="1">IF(J722&gt;=6,(MID(K723,1,1)&amp;MID(K723,2,4)+1),CELL("address",AC723))</f>
        <v>G727</v>
      </c>
      <c r="M723" s="135" t="str">
        <f ca="1">IF(J722&gt;=7,(MID(L723,1,1)&amp;MID(L723,2,4)+1),CELL("address",AD723))</f>
        <v>G728</v>
      </c>
      <c r="N723" s="135" t="str">
        <f ca="1">IF(J722&gt;=8,(MID(M723,1,1)&amp;MID(M723,2,4)+1),CELL("address",AE723))</f>
        <v>$AE$723</v>
      </c>
      <c r="O723" s="135" t="str">
        <f ca="1">IF(J722&gt;=9,(MID(N723,1,1)&amp;MID(N723,2,4)+1),CELL("address",AF723))</f>
        <v>$AF$723</v>
      </c>
      <c r="P723" s="135" t="str">
        <f ca="1">IF(J722&gt;=10,(MID(O723,1,1)&amp;MID(O723,2,4)+1),CELL("address",AG723))</f>
        <v>$AG$723</v>
      </c>
      <c r="Q723" s="135" t="str">
        <f ca="1">IF(J722&gt;=11,(MID(P723,1,1)&amp;MID(P723,2,4)+1),CELL("address",AH723))</f>
        <v>$AH$723</v>
      </c>
      <c r="R723" s="135" t="str">
        <f ca="1">IF(J722&gt;=12,(MID(Q723,1,1)&amp;MID(Q723,2,4)+1),CELL("address",AI723))</f>
        <v>$AI$723</v>
      </c>
    </row>
    <row r="724" spans="1:8" ht="15" customHeight="1">
      <c r="A724" s="283"/>
      <c r="B724" s="284"/>
      <c r="C724" s="288"/>
      <c r="D724" s="46" t="s">
        <v>24</v>
      </c>
      <c r="E724" s="52">
        <v>0.151</v>
      </c>
      <c r="F724" s="126"/>
      <c r="G724" s="126" t="str">
        <f>CONCATENATE(D724," - ",E724,", ")</f>
        <v>Misc. Aluminium scrap - 0.151, </v>
      </c>
      <c r="H724" s="139"/>
    </row>
    <row r="725" spans="1:8" ht="15" customHeight="1">
      <c r="A725" s="283"/>
      <c r="B725" s="284"/>
      <c r="C725" s="288"/>
      <c r="D725" s="46" t="s">
        <v>37</v>
      </c>
      <c r="E725" s="52">
        <v>0.037</v>
      </c>
      <c r="F725" s="126"/>
      <c r="G725" s="126" t="str">
        <f>CONCATENATE(D725," - ",E725,", ")</f>
        <v>Burnt Cu scrap - 0.037, </v>
      </c>
      <c r="H725" s="139"/>
    </row>
    <row r="726" spans="1:8" ht="15" customHeight="1">
      <c r="A726" s="283"/>
      <c r="B726" s="284"/>
      <c r="C726" s="288"/>
      <c r="D726" s="51" t="s">
        <v>76</v>
      </c>
      <c r="E726" s="52">
        <v>0.088</v>
      </c>
      <c r="F726" s="126"/>
      <c r="G726" s="126" t="str">
        <f>CONCATENATE(D726," - ",E726,", ")</f>
        <v> Iron scrap - 0.088, </v>
      </c>
      <c r="H726" s="139"/>
    </row>
    <row r="727" spans="1:8" ht="15" customHeight="1">
      <c r="A727" s="285"/>
      <c r="B727" s="286"/>
      <c r="C727" s="289"/>
      <c r="D727" s="46" t="s">
        <v>59</v>
      </c>
      <c r="E727" s="52">
        <v>0.59</v>
      </c>
      <c r="F727" s="126"/>
      <c r="G727" s="126" t="str">
        <f>CONCATENATE(D727," - ",E727,", ")</f>
        <v>Nuts &amp; Bolts scrap - 0.59, </v>
      </c>
      <c r="H727" s="139"/>
    </row>
    <row r="728" spans="1:8" ht="15" customHeight="1">
      <c r="A728" s="58"/>
      <c r="B728" s="61"/>
      <c r="C728" s="22"/>
      <c r="D728" s="61"/>
      <c r="E728" s="133"/>
      <c r="F728" s="126"/>
      <c r="G728" s="130"/>
      <c r="H728" s="139"/>
    </row>
    <row r="729" spans="1:8" ht="15" customHeight="1">
      <c r="A729" s="279"/>
      <c r="B729" s="280"/>
      <c r="C729" s="82"/>
      <c r="D729" s="82"/>
      <c r="E729" s="174">
        <f>SUM(E731:E731)</f>
        <v>0.021</v>
      </c>
      <c r="F729" s="126"/>
      <c r="G729" s="130"/>
      <c r="H729" s="139"/>
    </row>
    <row r="730" spans="1:18" ht="15" customHeight="1">
      <c r="A730" s="274" t="s">
        <v>5</v>
      </c>
      <c r="B730" s="274"/>
      <c r="C730" s="79" t="s">
        <v>17</v>
      </c>
      <c r="D730" s="80" t="s">
        <v>18</v>
      </c>
      <c r="E730" s="84" t="s">
        <v>7</v>
      </c>
      <c r="F730" s="126"/>
      <c r="G730" s="245" t="str">
        <f>CONCATENATE("Misc. Healthy parts/ Non Ferrous  Scrap, Lying at ",C731,". Quantity in MT - ")</f>
        <v>Misc. Healthy parts/ Non Ferrous  Scrap, Lying at OL Barnala. Quantity in MT - </v>
      </c>
      <c r="H730" s="177" t="str">
        <f ca="1">CONCATENATE(G730,G731,(INDIRECT(I731)),(INDIRECT(J731)),(INDIRECT(K731)),(INDIRECT(L731)),(INDIRECT(M731)),(INDIRECT(N731)),(INDIRECT(O731)),(INDIRECT(P731)),(INDIRECT(Q731)),(INDIRECT(R731)),".")</f>
        <v>Misc. Healthy parts/ Non Ferrous  Scrap, Lying at OL Barnala. Quantity in MT - Misc. copper scrap - 0.021, .</v>
      </c>
      <c r="I730" s="135" t="str">
        <f aca="true" ca="1" t="array" ref="I730">CELL("address",INDEX(G730:G752,MATCH(TRUE,ISBLANK(G730:G752),0)))</f>
        <v>$G$732</v>
      </c>
      <c r="J730" s="135">
        <f aca="true" t="array" ref="J730">MATCH(TRUE,ISBLANK(G730:G752),0)</f>
        <v>3</v>
      </c>
      <c r="K730" s="135">
        <f>J730-3</f>
        <v>0</v>
      </c>
      <c r="L730" s="135"/>
      <c r="M730" s="135"/>
      <c r="N730" s="135"/>
      <c r="O730" s="135"/>
      <c r="P730" s="135"/>
      <c r="Q730" s="135"/>
      <c r="R730" s="135"/>
    </row>
    <row r="731" spans="1:18" ht="15" customHeight="1">
      <c r="A731" s="274" t="s">
        <v>285</v>
      </c>
      <c r="B731" s="274"/>
      <c r="C731" s="256" t="s">
        <v>198</v>
      </c>
      <c r="D731" s="74" t="s">
        <v>113</v>
      </c>
      <c r="E731" s="85">
        <v>0.021</v>
      </c>
      <c r="F731" s="244"/>
      <c r="G731" s="126" t="str">
        <f>CONCATENATE(D731," - ",E731,", ")</f>
        <v>Misc. copper scrap - 0.021, </v>
      </c>
      <c r="H731" s="146"/>
      <c r="I731" s="135" t="str">
        <f ca="1">IF(J730&gt;=3,(MID(I730,2,1)&amp;MID(I730,4,4)-K730),CELL("address",Z731))</f>
        <v>G732</v>
      </c>
      <c r="J731" s="135" t="str">
        <f ca="1">IF(J730&gt;=4,(MID(I731,1,1)&amp;MID(I731,2,4)+1),CELL("address",AA731))</f>
        <v>$AA$731</v>
      </c>
      <c r="K731" s="135" t="str">
        <f ca="1">IF(J730&gt;=5,(MID(J731,1,1)&amp;MID(J731,2,4)+1),CELL("address",AB731))</f>
        <v>$AB$731</v>
      </c>
      <c r="L731" s="135" t="str">
        <f ca="1">IF(J730&gt;=6,(MID(K731,1,1)&amp;MID(K731,2,4)+1),CELL("address",AC731))</f>
        <v>$AC$731</v>
      </c>
      <c r="M731" s="135" t="str">
        <f ca="1">IF(J730&gt;=7,(MID(L731,1,1)&amp;MID(L731,2,4)+1),CELL("address",AD731))</f>
        <v>$AD$731</v>
      </c>
      <c r="N731" s="135" t="str">
        <f ca="1">IF(J730&gt;=8,(MID(M731,1,1)&amp;MID(M731,2,4)+1),CELL("address",AE731))</f>
        <v>$AE$731</v>
      </c>
      <c r="O731" s="135" t="str">
        <f ca="1">IF(J730&gt;=9,(MID(N731,1,1)&amp;MID(N731,2,4)+1),CELL("address",AF731))</f>
        <v>$AF$731</v>
      </c>
      <c r="P731" s="135" t="str">
        <f ca="1">IF(J730&gt;=10,(MID(O731,1,1)&amp;MID(O731,2,4)+1),CELL("address",AG731))</f>
        <v>$AG$731</v>
      </c>
      <c r="Q731" s="135" t="str">
        <f ca="1">IF(J730&gt;=11,(MID(P731,1,1)&amp;MID(P731,2,4)+1),CELL("address",AH731))</f>
        <v>$AH$731</v>
      </c>
      <c r="R731" s="135" t="str">
        <f ca="1">IF(J730&gt;=12,(MID(Q731,1,1)&amp;MID(Q731,2,4)+1),CELL("address",AI731))</f>
        <v>$AI$731</v>
      </c>
    </row>
    <row r="732" spans="1:8" ht="15" customHeight="1">
      <c r="A732" s="41"/>
      <c r="B732" s="1"/>
      <c r="C732" s="1"/>
      <c r="D732" s="1"/>
      <c r="E732" s="1"/>
      <c r="F732" s="244"/>
      <c r="G732" s="126"/>
      <c r="H732" s="139"/>
    </row>
    <row r="733" spans="1:8" ht="15" customHeight="1">
      <c r="A733" s="279"/>
      <c r="B733" s="280"/>
      <c r="C733" s="82"/>
      <c r="D733" s="82"/>
      <c r="E733" s="174">
        <f>SUM(E735:E737)</f>
        <v>1.097</v>
      </c>
      <c r="F733" s="244"/>
      <c r="G733" s="126"/>
      <c r="H733" s="139"/>
    </row>
    <row r="734" spans="1:18" ht="15" customHeight="1">
      <c r="A734" s="274" t="s">
        <v>5</v>
      </c>
      <c r="B734" s="274"/>
      <c r="C734" s="79" t="s">
        <v>17</v>
      </c>
      <c r="D734" s="80" t="s">
        <v>18</v>
      </c>
      <c r="E734" s="84" t="s">
        <v>7</v>
      </c>
      <c r="F734" s="244"/>
      <c r="G734" s="128" t="str">
        <f>CONCATENATE("Misc. Healthy parts/ Non Ferrous  Scrap, Lying at ",C735,". Quantity in MT - ")</f>
        <v>Misc. Healthy parts/ Non Ferrous  Scrap, Lying at TRY Moga. Quantity in MT - </v>
      </c>
      <c r="H734" s="146" t="str">
        <f ca="1">CONCATENATE(G734,G735,(INDIRECT(I735)),(INDIRECT(J735)),(INDIRECT(K735)),(INDIRECT(L735)),(INDIRECT(M735)),(INDIRECT(N735)),(INDIRECT(O735)),(INDIRECT(P735)),(INDIRECT(Q735)),(INDIRECT(R735)),".")</f>
        <v>Misc. Healthy parts/ Non Ferrous  Scrap, Lying at TRY Moga. Quantity in MT - Brass scrap - 0.911, Misc. Alumn. Scrap - 0.125, Iron scrap - 0.061, .</v>
      </c>
      <c r="I734" s="135" t="str">
        <f aca="true" ca="1" t="array" ref="I734">CELL("address",INDEX(G734:G756,MATCH(TRUE,ISBLANK(G734:G756),0)))</f>
        <v>$G$738</v>
      </c>
      <c r="J734" s="135">
        <f aca="true" t="array" ref="J734">MATCH(TRUE,ISBLANK(G734:G756),0)</f>
        <v>5</v>
      </c>
      <c r="K734" s="135">
        <f>J734-3</f>
        <v>2</v>
      </c>
      <c r="L734" s="135"/>
      <c r="M734" s="135"/>
      <c r="N734" s="135"/>
      <c r="O734" s="135"/>
      <c r="P734" s="135"/>
      <c r="Q734" s="135"/>
      <c r="R734" s="135"/>
    </row>
    <row r="735" spans="1:18" ht="15" customHeight="1">
      <c r="A735" s="274" t="s">
        <v>289</v>
      </c>
      <c r="B735" s="274"/>
      <c r="C735" s="277" t="s">
        <v>231</v>
      </c>
      <c r="D735" s="51" t="s">
        <v>23</v>
      </c>
      <c r="E735" s="175">
        <v>0.911</v>
      </c>
      <c r="F735" s="244"/>
      <c r="G735" s="126" t="str">
        <f>CONCATENATE(D735," - ",E735,", ")</f>
        <v>Brass scrap - 0.911, </v>
      </c>
      <c r="H735" s="146"/>
      <c r="I735" s="135" t="str">
        <f ca="1">IF(J734&gt;=3,(MID(I734,2,1)&amp;MID(I734,4,4)-K734),CELL("address",Z735))</f>
        <v>G736</v>
      </c>
      <c r="J735" s="135" t="str">
        <f ca="1">IF(J734&gt;=4,(MID(I735,1,1)&amp;MID(I735,2,4)+1),CELL("address",AA735))</f>
        <v>G737</v>
      </c>
      <c r="K735" s="135" t="str">
        <f ca="1">IF(J734&gt;=5,(MID(J735,1,1)&amp;MID(J735,2,4)+1),CELL("address",AB735))</f>
        <v>G738</v>
      </c>
      <c r="L735" s="135" t="str">
        <f ca="1">IF(J734&gt;=6,(MID(K735,1,1)&amp;MID(K735,2,4)+1),CELL("address",AC735))</f>
        <v>$AC$735</v>
      </c>
      <c r="M735" s="135" t="str">
        <f ca="1">IF(J734&gt;=7,(MID(L735,1,1)&amp;MID(L735,2,4)+1),CELL("address",AD735))</f>
        <v>$AD$735</v>
      </c>
      <c r="N735" s="135" t="str">
        <f ca="1">IF(J734&gt;=8,(MID(M735,1,1)&amp;MID(M735,2,4)+1),CELL("address",AE735))</f>
        <v>$AE$735</v>
      </c>
      <c r="O735" s="135" t="str">
        <f ca="1">IF(J734&gt;=9,(MID(N735,1,1)&amp;MID(N735,2,4)+1),CELL("address",AF735))</f>
        <v>$AF$735</v>
      </c>
      <c r="P735" s="135" t="str">
        <f ca="1">IF(J734&gt;=10,(MID(O735,1,1)&amp;MID(O735,2,4)+1),CELL("address",AG735))</f>
        <v>$AG$735</v>
      </c>
      <c r="Q735" s="135" t="str">
        <f ca="1">IF(J734&gt;=11,(MID(P735,1,1)&amp;MID(P735,2,4)+1),CELL("address",AH735))</f>
        <v>$AH$735</v>
      </c>
      <c r="R735" s="135" t="str">
        <f ca="1">IF(J734&gt;=12,(MID(Q735,1,1)&amp;MID(Q735,2,4)+1),CELL("address",AI735))</f>
        <v>$AI$735</v>
      </c>
    </row>
    <row r="736" spans="1:8" ht="15" customHeight="1">
      <c r="A736" s="274"/>
      <c r="B736" s="274"/>
      <c r="C736" s="277"/>
      <c r="D736" s="51" t="s">
        <v>31</v>
      </c>
      <c r="E736" s="84">
        <v>0.125</v>
      </c>
      <c r="F736" s="244"/>
      <c r="G736" s="126" t="str">
        <f>CONCATENATE(D736," - ",E736,", ")</f>
        <v>Misc. Alumn. Scrap - 0.125, </v>
      </c>
      <c r="H736" s="139"/>
    </row>
    <row r="737" spans="1:8" ht="15" customHeight="1">
      <c r="A737" s="274"/>
      <c r="B737" s="274"/>
      <c r="C737" s="277"/>
      <c r="D737" s="46" t="s">
        <v>27</v>
      </c>
      <c r="E737" s="84">
        <v>0.061</v>
      </c>
      <c r="F737" s="244"/>
      <c r="G737" s="126" t="str">
        <f>CONCATENATE(D737," - ",E737,", ")</f>
        <v>Iron scrap - 0.061, </v>
      </c>
      <c r="H737" s="139"/>
    </row>
    <row r="738" spans="1:8" ht="15" customHeight="1">
      <c r="A738" s="41"/>
      <c r="B738" s="1"/>
      <c r="C738" s="1"/>
      <c r="D738" s="1"/>
      <c r="E738" s="1"/>
      <c r="G738" s="126"/>
      <c r="H738" s="139"/>
    </row>
    <row r="739" spans="1:8" ht="15" customHeight="1">
      <c r="A739" s="279"/>
      <c r="B739" s="280"/>
      <c r="C739" s="82"/>
      <c r="D739" s="82"/>
      <c r="E739" s="174">
        <f>SUM(E741:E741)</f>
        <v>0.125</v>
      </c>
      <c r="G739" s="126"/>
      <c r="H739" s="139"/>
    </row>
    <row r="740" spans="1:18" ht="15" customHeight="1">
      <c r="A740" s="274" t="s">
        <v>5</v>
      </c>
      <c r="B740" s="274"/>
      <c r="C740" s="79" t="s">
        <v>17</v>
      </c>
      <c r="D740" s="80" t="s">
        <v>18</v>
      </c>
      <c r="E740" s="84" t="s">
        <v>7</v>
      </c>
      <c r="G740" s="128" t="str">
        <f>CONCATENATE("Misc. Healthy parts/ Non Ferrous  Scrap, Lying at ",C741,". Quantity in MT - ")</f>
        <v>Misc. Healthy parts/ Non Ferrous  Scrap, Lying at S &amp; T Store Bathinda . Quantity in MT - </v>
      </c>
      <c r="H740" s="146" t="str">
        <f ca="1">CONCATENATE(G740,G741,(INDIRECT(I741)),(INDIRECT(J741)),(INDIRECT(K741)),(INDIRECT(L741)),(INDIRECT(M741)),(INDIRECT(N741)),(INDIRECT(O741)),(INDIRECT(P741)),(INDIRECT(Q741)),(INDIRECT(R741)),".")</f>
        <v>Misc. Healthy parts/ Non Ferrous  Scrap, Lying at S &amp; T Store Bathinda . Quantity in MT - Misc. copper scrap - 0.125, .</v>
      </c>
      <c r="I740" s="135" t="str">
        <f aca="true" ca="1" t="array" ref="I740">CELL("address",INDEX(G740:G763,MATCH(TRUE,ISBLANK(G740:G763),0)))</f>
        <v>$G$742</v>
      </c>
      <c r="J740" s="135">
        <f aca="true" t="array" ref="J740">MATCH(TRUE,ISBLANK(G740:G763),0)</f>
        <v>3</v>
      </c>
      <c r="K740" s="135">
        <f>J740-3</f>
        <v>0</v>
      </c>
      <c r="L740" s="135"/>
      <c r="M740" s="135"/>
      <c r="N740" s="135"/>
      <c r="O740" s="135"/>
      <c r="P740" s="135"/>
      <c r="Q740" s="135"/>
      <c r="R740" s="135"/>
    </row>
    <row r="741" spans="1:18" ht="15" customHeight="1">
      <c r="A741" s="274" t="s">
        <v>414</v>
      </c>
      <c r="B741" s="274"/>
      <c r="C741" s="262" t="s">
        <v>413</v>
      </c>
      <c r="D741" s="196" t="s">
        <v>113</v>
      </c>
      <c r="E741" s="271">
        <v>0.125</v>
      </c>
      <c r="F741" s="1" t="s">
        <v>408</v>
      </c>
      <c r="G741" s="126" t="str">
        <f>CONCATENATE(D741," - ",E741,", ")</f>
        <v>Misc. copper scrap - 0.125, </v>
      </c>
      <c r="H741" s="146"/>
      <c r="I741" s="135" t="str">
        <f ca="1">IF(J740&gt;=3,(MID(I740,2,1)&amp;MID(I740,4,4)-K740),CELL("address",Z741))</f>
        <v>G742</v>
      </c>
      <c r="J741" s="135" t="str">
        <f ca="1">IF(J740&gt;=4,(MID(I741,1,1)&amp;MID(I741,2,4)+1),CELL("address",AA741))</f>
        <v>$AA$741</v>
      </c>
      <c r="K741" s="135" t="str">
        <f ca="1">IF(J740&gt;=5,(MID(J741,1,1)&amp;MID(J741,2,4)+1),CELL("address",AB741))</f>
        <v>$AB$741</v>
      </c>
      <c r="L741" s="135" t="str">
        <f ca="1">IF(J740&gt;=6,(MID(K741,1,1)&amp;MID(K741,2,4)+1),CELL("address",AC741))</f>
        <v>$AC$741</v>
      </c>
      <c r="M741" s="135" t="str">
        <f ca="1">IF(J740&gt;=7,(MID(L741,1,1)&amp;MID(L741,2,4)+1),CELL("address",AD741))</f>
        <v>$AD$741</v>
      </c>
      <c r="N741" s="135" t="str">
        <f ca="1">IF(J740&gt;=8,(MID(M741,1,1)&amp;MID(M741,2,4)+1),CELL("address",AE741))</f>
        <v>$AE$741</v>
      </c>
      <c r="O741" s="135" t="str">
        <f ca="1">IF(J740&gt;=9,(MID(N741,1,1)&amp;MID(N741,2,4)+1),CELL("address",AF741))</f>
        <v>$AF$741</v>
      </c>
      <c r="P741" s="135" t="str">
        <f ca="1">IF(J740&gt;=10,(MID(O741,1,1)&amp;MID(O741,2,4)+1),CELL("address",AG741))</f>
        <v>$AG$741</v>
      </c>
      <c r="Q741" s="135" t="str">
        <f ca="1">IF(J740&gt;=11,(MID(P741,1,1)&amp;MID(P741,2,4)+1),CELL("address",AH741))</f>
        <v>$AH$741</v>
      </c>
      <c r="R741" s="135" t="str">
        <f ca="1">IF(J740&gt;=12,(MID(Q741,1,1)&amp;MID(Q741,2,4)+1),CELL("address",AI741))</f>
        <v>$AI$741</v>
      </c>
    </row>
    <row r="742" spans="1:8" ht="15" customHeight="1">
      <c r="A742" s="41"/>
      <c r="B742" s="1"/>
      <c r="C742" s="1"/>
      <c r="D742" s="1"/>
      <c r="E742" s="1"/>
      <c r="G742" s="126"/>
      <c r="H742" s="139"/>
    </row>
    <row r="743" spans="1:8" ht="15" customHeight="1">
      <c r="A743" s="279"/>
      <c r="B743" s="280"/>
      <c r="C743" s="82"/>
      <c r="D743" s="82"/>
      <c r="E743" s="174">
        <f>SUM(E745:E745)</f>
        <v>0.174</v>
      </c>
      <c r="G743" s="126"/>
      <c r="H743" s="139"/>
    </row>
    <row r="744" spans="1:18" ht="15" customHeight="1">
      <c r="A744" s="274" t="s">
        <v>5</v>
      </c>
      <c r="B744" s="274"/>
      <c r="C744" s="79" t="s">
        <v>17</v>
      </c>
      <c r="D744" s="80" t="s">
        <v>18</v>
      </c>
      <c r="E744" s="84" t="s">
        <v>7</v>
      </c>
      <c r="G744" s="128" t="str">
        <f>CONCATENATE("Misc. Healthy parts/ Non Ferrous  Scrap, Lying at ",C745,". Quantity in MT - ")</f>
        <v>Misc. Healthy parts/ Non Ferrous  Scrap, Lying at CS Ferozepur. Quantity in MT - </v>
      </c>
      <c r="H744" s="146" t="str">
        <f ca="1">CONCATENATE(G744,G745,(INDIRECT(I745)),(INDIRECT(J745)),(INDIRECT(K745)),(INDIRECT(L745)),(INDIRECT(M745)),(INDIRECT(N745)),(INDIRECT(O745)),(INDIRECT(P745)),(INDIRECT(Q745)),(INDIRECT(R745)),".")</f>
        <v>Misc. Healthy parts/ Non Ferrous  Scrap, Lying at CS Ferozepur. Quantity in MT - Misc. copper scrap - 0.174, .</v>
      </c>
      <c r="I744" s="135" t="str">
        <f aca="true" ca="1" t="array" ref="I744">CELL("address",INDEX(G744:G765,MATCH(TRUE,ISBLANK(G744:G765),0)))</f>
        <v>$G$746</v>
      </c>
      <c r="J744" s="135">
        <f aca="true" t="array" ref="J744">MATCH(TRUE,ISBLANK(G744:G765),0)</f>
        <v>3</v>
      </c>
      <c r="K744" s="135">
        <f>J744-3</f>
        <v>0</v>
      </c>
      <c r="L744" s="135"/>
      <c r="M744" s="135"/>
      <c r="N744" s="135"/>
      <c r="O744" s="135"/>
      <c r="P744" s="135"/>
      <c r="Q744" s="135"/>
      <c r="R744" s="135"/>
    </row>
    <row r="745" spans="1:18" ht="15" customHeight="1">
      <c r="A745" s="274" t="s">
        <v>422</v>
      </c>
      <c r="B745" s="274"/>
      <c r="C745" s="262" t="s">
        <v>100</v>
      </c>
      <c r="D745" s="196" t="s">
        <v>113</v>
      </c>
      <c r="E745" s="271">
        <v>0.174</v>
      </c>
      <c r="F745" s="1" t="s">
        <v>408</v>
      </c>
      <c r="G745" s="126" t="str">
        <f>CONCATENATE(D745," - ",E745,", ")</f>
        <v>Misc. copper scrap - 0.174, </v>
      </c>
      <c r="H745" s="146"/>
      <c r="I745" s="135" t="str">
        <f ca="1">IF(J744&gt;=3,(MID(I744,2,1)&amp;MID(I744,4,4)-K744),CELL("address",Z745))</f>
        <v>G746</v>
      </c>
      <c r="J745" s="135" t="str">
        <f ca="1">IF(J744&gt;=4,(MID(I745,1,1)&amp;MID(I745,2,4)+1),CELL("address",AA745))</f>
        <v>$AA$745</v>
      </c>
      <c r="K745" s="135" t="str">
        <f ca="1">IF(J744&gt;=5,(MID(J745,1,1)&amp;MID(J745,2,4)+1),CELL("address",AB745))</f>
        <v>$AB$745</v>
      </c>
      <c r="L745" s="135" t="str">
        <f ca="1">IF(J744&gt;=6,(MID(K745,1,1)&amp;MID(K745,2,4)+1),CELL("address",AC745))</f>
        <v>$AC$745</v>
      </c>
      <c r="M745" s="135" t="str">
        <f ca="1">IF(J744&gt;=7,(MID(L745,1,1)&amp;MID(L745,2,4)+1),CELL("address",AD745))</f>
        <v>$AD$745</v>
      </c>
      <c r="N745" s="135" t="str">
        <f ca="1">IF(J744&gt;=8,(MID(M745,1,1)&amp;MID(M745,2,4)+1),CELL("address",AE745))</f>
        <v>$AE$745</v>
      </c>
      <c r="O745" s="135" t="str">
        <f ca="1">IF(J744&gt;=9,(MID(N745,1,1)&amp;MID(N745,2,4)+1),CELL("address",AF745))</f>
        <v>$AF$745</v>
      </c>
      <c r="P745" s="135" t="str">
        <f ca="1">IF(J744&gt;=10,(MID(O745,1,1)&amp;MID(O745,2,4)+1),CELL("address",AG745))</f>
        <v>$AG$745</v>
      </c>
      <c r="Q745" s="135" t="str">
        <f ca="1">IF(J744&gt;=11,(MID(P745,1,1)&amp;MID(P745,2,4)+1),CELL("address",AH745))</f>
        <v>$AH$745</v>
      </c>
      <c r="R745" s="135" t="str">
        <f ca="1">IF(J744&gt;=12,(MID(Q745,1,1)&amp;MID(Q745,2,4)+1),CELL("address",AI745))</f>
        <v>$AI$745</v>
      </c>
    </row>
    <row r="746" spans="1:8" ht="15" customHeight="1">
      <c r="A746" s="41"/>
      <c r="B746" s="1"/>
      <c r="C746" s="1"/>
      <c r="D746" s="1"/>
      <c r="E746" s="1"/>
      <c r="H746" s="137"/>
    </row>
    <row r="747" spans="1:8" ht="15" customHeight="1">
      <c r="A747" s="279"/>
      <c r="B747" s="280"/>
      <c r="C747" s="82"/>
      <c r="D747" s="82"/>
      <c r="E747" s="174">
        <f>SUM(E749:E752)</f>
        <v>0.23000000000000004</v>
      </c>
      <c r="H747" s="137"/>
    </row>
    <row r="748" spans="1:18" ht="15" customHeight="1">
      <c r="A748" s="274" t="s">
        <v>5</v>
      </c>
      <c r="B748" s="274"/>
      <c r="C748" s="79" t="s">
        <v>17</v>
      </c>
      <c r="D748" s="80" t="s">
        <v>18</v>
      </c>
      <c r="E748" s="84" t="s">
        <v>7</v>
      </c>
      <c r="G748" s="255" t="str">
        <f>CONCATENATE("Misc. Healthy parts/ Non Ferrous  Scrap, Lying at ",C749,". Quantity in MT - ")</f>
        <v>Misc. Healthy parts/ Non Ferrous  Scrap, Lying at TRY Barnala. Quantity in MT - </v>
      </c>
      <c r="H748" s="146" t="str">
        <f ca="1">CONCATENATE(G748,G749,(INDIRECT(I749)),(INDIRECT(J749)),(INDIRECT(K749)),(INDIRECT(L749)),(INDIRECT(M749)),(INDIRECT(N749)),(INDIRECT(O749)),(INDIRECT(P749)),(INDIRECT(Q749)),(INDIRECT(R749)),".")</f>
        <v>Misc. Healthy parts/ Non Ferrous  Scrap, Lying at TRY Barnala. Quantity in MT - Brass scrap - 0.2, Misc. Alumn. Scrap - 0.011, Iron scrap - 0.011, Burnt Cu scrap - 0.008, .</v>
      </c>
      <c r="I748" s="135" t="str">
        <f aca="true" ca="1" t="array" ref="I748">CELL("address",INDEX(G748:G769,MATCH(TRUE,ISBLANK(G748:G769),0)))</f>
        <v>$G$753</v>
      </c>
      <c r="J748" s="135">
        <f aca="true" t="array" ref="J748">MATCH(TRUE,ISBLANK(G748:G769),0)</f>
        <v>6</v>
      </c>
      <c r="K748" s="135">
        <f>J748-3</f>
        <v>3</v>
      </c>
      <c r="L748" s="135"/>
      <c r="M748" s="135"/>
      <c r="N748" s="135"/>
      <c r="O748" s="135"/>
      <c r="P748" s="135"/>
      <c r="Q748" s="135"/>
      <c r="R748" s="135"/>
    </row>
    <row r="749" spans="1:18" ht="15" customHeight="1">
      <c r="A749" s="274" t="s">
        <v>432</v>
      </c>
      <c r="B749" s="274"/>
      <c r="C749" s="277" t="s">
        <v>431</v>
      </c>
      <c r="D749" s="39" t="s">
        <v>23</v>
      </c>
      <c r="E749" s="55">
        <v>0.2</v>
      </c>
      <c r="F749" s="1" t="s">
        <v>408</v>
      </c>
      <c r="G749" s="244" t="str">
        <f>CONCATENATE(D749," - ",E749,", ")</f>
        <v>Brass scrap - 0.2, </v>
      </c>
      <c r="H749" s="146"/>
      <c r="I749" s="135" t="str">
        <f ca="1">IF(J748&gt;=3,(MID(I748,2,1)&amp;MID(I748,4,4)-K748),CELL("address",Z749))</f>
        <v>G750</v>
      </c>
      <c r="J749" s="135" t="str">
        <f ca="1">IF(J748&gt;=4,(MID(I749,1,1)&amp;MID(I749,2,4)+1),CELL("address",AA749))</f>
        <v>G751</v>
      </c>
      <c r="K749" s="135" t="str">
        <f ca="1">IF(J748&gt;=5,(MID(J749,1,1)&amp;MID(J749,2,4)+1),CELL("address",AB749))</f>
        <v>G752</v>
      </c>
      <c r="L749" s="135" t="str">
        <f ca="1">IF(J748&gt;=6,(MID(K749,1,1)&amp;MID(K749,2,4)+1),CELL("address",AC749))</f>
        <v>G753</v>
      </c>
      <c r="M749" s="135" t="str">
        <f ca="1">IF(J748&gt;=7,(MID(L749,1,1)&amp;MID(L749,2,4)+1),CELL("address",AD749))</f>
        <v>$AD$749</v>
      </c>
      <c r="N749" s="135" t="str">
        <f ca="1">IF(J748&gt;=8,(MID(M749,1,1)&amp;MID(M749,2,4)+1),CELL("address",AE749))</f>
        <v>$AE$749</v>
      </c>
      <c r="O749" s="135" t="str">
        <f ca="1">IF(J748&gt;=9,(MID(N749,1,1)&amp;MID(N749,2,4)+1),CELL("address",AF749))</f>
        <v>$AF$749</v>
      </c>
      <c r="P749" s="135" t="str">
        <f ca="1">IF(J748&gt;=10,(MID(O749,1,1)&amp;MID(O749,2,4)+1),CELL("address",AG749))</f>
        <v>$AG$749</v>
      </c>
      <c r="Q749" s="135" t="str">
        <f ca="1">IF(J748&gt;=11,(MID(P749,1,1)&amp;MID(P749,2,4)+1),CELL("address",AH749))</f>
        <v>$AH$749</v>
      </c>
      <c r="R749" s="135" t="str">
        <f ca="1">IF(J748&gt;=12,(MID(Q749,1,1)&amp;MID(Q749,2,4)+1),CELL("address",AI749))</f>
        <v>$AI$749</v>
      </c>
    </row>
    <row r="750" spans="1:8" ht="15" customHeight="1">
      <c r="A750" s="274"/>
      <c r="B750" s="274"/>
      <c r="C750" s="277"/>
      <c r="D750" s="39" t="s">
        <v>31</v>
      </c>
      <c r="E750" s="234">
        <v>0.011</v>
      </c>
      <c r="F750" s="1" t="s">
        <v>408</v>
      </c>
      <c r="G750" s="244" t="str">
        <f>CONCATENATE(D750," - ",E750,", ")</f>
        <v>Misc. Alumn. Scrap - 0.011, </v>
      </c>
      <c r="H750" s="139"/>
    </row>
    <row r="751" spans="1:8" ht="15" customHeight="1">
      <c r="A751" s="274"/>
      <c r="B751" s="274"/>
      <c r="C751" s="277"/>
      <c r="D751" s="257" t="s">
        <v>27</v>
      </c>
      <c r="E751" s="234">
        <v>0.011</v>
      </c>
      <c r="F751" s="1" t="s">
        <v>408</v>
      </c>
      <c r="G751" s="244" t="str">
        <f>CONCATENATE(D751," - ",E751,", ")</f>
        <v>Iron scrap - 0.011, </v>
      </c>
      <c r="H751" s="139"/>
    </row>
    <row r="752" spans="1:8" ht="15" customHeight="1">
      <c r="A752" s="274"/>
      <c r="B752" s="274"/>
      <c r="C752" s="277"/>
      <c r="D752" s="257" t="s">
        <v>37</v>
      </c>
      <c r="E752" s="148">
        <v>0.008</v>
      </c>
      <c r="F752" s="1" t="s">
        <v>408</v>
      </c>
      <c r="G752" s="244" t="str">
        <f>CONCATENATE(D752," - ",E752,", ")</f>
        <v>Burnt Cu scrap - 0.008, </v>
      </c>
      <c r="H752" s="139"/>
    </row>
    <row r="753" spans="1:8" ht="15" customHeight="1">
      <c r="A753" s="41"/>
      <c r="B753" s="1"/>
      <c r="C753" s="1"/>
      <c r="D753" s="1"/>
      <c r="E753" s="1"/>
      <c r="H753" s="139"/>
    </row>
    <row r="754" spans="1:8" ht="15" customHeight="1">
      <c r="A754" s="279"/>
      <c r="B754" s="280"/>
      <c r="C754" s="82"/>
      <c r="D754" s="82"/>
      <c r="E754" s="174">
        <f>SUM(E756:E760)</f>
        <v>2.958</v>
      </c>
      <c r="H754" s="139"/>
    </row>
    <row r="755" spans="1:18" ht="24" customHeight="1">
      <c r="A755" s="274" t="s">
        <v>5</v>
      </c>
      <c r="B755" s="274"/>
      <c r="C755" s="79" t="s">
        <v>17</v>
      </c>
      <c r="D755" s="80" t="s">
        <v>18</v>
      </c>
      <c r="E755" s="84" t="s">
        <v>7</v>
      </c>
      <c r="G755" s="255" t="str">
        <f>CONCATENATE("Misc. Healthy parts/ Non Ferrous  Scrap, Lying at ",C756,". Quantity in MT - ")</f>
        <v>Misc. Healthy parts/ Non Ferrous  Scrap, Lying at TRY Sangrur. Quantity in MT - </v>
      </c>
      <c r="H755" s="146" t="str">
        <f ca="1">CONCATENATE(G755,G756,(INDIRECT(I756)),(INDIRECT(J756)),(INDIRECT(K756)),(INDIRECT(L756)),(INDIRECT(M756)),(INDIRECT(N756)),(INDIRECT(O756)),(INDIRECT(P756)),(INDIRECT(Q756)),(INDIRECT(R756)),".")</f>
        <v>Misc. Healthy parts/ Non Ferrous  Scrap, Lying at TRY Sangrur. Quantity in MT - Brass scrap - 1.56, Misc. Alumn. Scrap - 0.125, Burnt Cu scrap - 0.043, Iron scrap - 0.177, Nuts &amp; Bolts scrap - 1.053, .</v>
      </c>
      <c r="I755" s="135" t="str">
        <f aca="true" ca="1" t="array" ref="I755">CELL("address",INDEX(G755:G776,MATCH(TRUE,ISBLANK(G755:G776),0)))</f>
        <v>$G$761</v>
      </c>
      <c r="J755" s="135">
        <f aca="true" t="array" ref="J755">MATCH(TRUE,ISBLANK(G755:G776),0)</f>
        <v>7</v>
      </c>
      <c r="K755" s="135">
        <f>J755-3</f>
        <v>4</v>
      </c>
      <c r="L755" s="135"/>
      <c r="M755" s="135"/>
      <c r="N755" s="135"/>
      <c r="O755" s="135"/>
      <c r="P755" s="135"/>
      <c r="Q755" s="135"/>
      <c r="R755" s="135"/>
    </row>
    <row r="756" spans="1:18" ht="15" customHeight="1">
      <c r="A756" s="274" t="s">
        <v>433</v>
      </c>
      <c r="B756" s="274"/>
      <c r="C756" s="277" t="s">
        <v>137</v>
      </c>
      <c r="D756" s="39" t="s">
        <v>23</v>
      </c>
      <c r="E756" s="55">
        <v>1.56</v>
      </c>
      <c r="F756" s="1" t="s">
        <v>408</v>
      </c>
      <c r="G756" s="244" t="str">
        <f>CONCATENATE(D756," - ",E756,", ")</f>
        <v>Brass scrap - 1.56, </v>
      </c>
      <c r="H756" s="146"/>
      <c r="I756" s="135" t="str">
        <f ca="1">IF(J755&gt;=3,(MID(I755,2,1)&amp;MID(I755,4,4)-K755),CELL("address",Z756))</f>
        <v>G757</v>
      </c>
      <c r="J756" s="135" t="str">
        <f ca="1">IF(J755&gt;=4,(MID(I756,1,1)&amp;MID(I756,2,4)+1),CELL("address",AA756))</f>
        <v>G758</v>
      </c>
      <c r="K756" s="135" t="str">
        <f ca="1">IF(J755&gt;=5,(MID(J756,1,1)&amp;MID(J756,2,4)+1),CELL("address",AB756))</f>
        <v>G759</v>
      </c>
      <c r="L756" s="135" t="str">
        <f ca="1">IF(J755&gt;=6,(MID(K756,1,1)&amp;MID(K756,2,4)+1),CELL("address",AC756))</f>
        <v>G760</v>
      </c>
      <c r="M756" s="135" t="str">
        <f ca="1">IF(J755&gt;=7,(MID(L756,1,1)&amp;MID(L756,2,4)+1),CELL("address",AD756))</f>
        <v>G761</v>
      </c>
      <c r="N756" s="135" t="str">
        <f ca="1">IF(J755&gt;=8,(MID(M756,1,1)&amp;MID(M756,2,4)+1),CELL("address",AE756))</f>
        <v>$AE$756</v>
      </c>
      <c r="O756" s="135" t="str">
        <f ca="1">IF(J755&gt;=9,(MID(N756,1,1)&amp;MID(N756,2,4)+1),CELL("address",AF756))</f>
        <v>$AF$756</v>
      </c>
      <c r="P756" s="135" t="str">
        <f ca="1">IF(J755&gt;=10,(MID(O756,1,1)&amp;MID(O756,2,4)+1),CELL("address",AG756))</f>
        <v>$AG$756</v>
      </c>
      <c r="Q756" s="135" t="str">
        <f ca="1">IF(J755&gt;=11,(MID(P756,1,1)&amp;MID(P756,2,4)+1),CELL("address",AH756))</f>
        <v>$AH$756</v>
      </c>
      <c r="R756" s="135" t="str">
        <f ca="1">IF(J755&gt;=12,(MID(Q756,1,1)&amp;MID(Q756,2,4)+1),CELL("address",AI756))</f>
        <v>$AI$756</v>
      </c>
    </row>
    <row r="757" spans="1:8" ht="15" customHeight="1">
      <c r="A757" s="274"/>
      <c r="B757" s="274"/>
      <c r="C757" s="277"/>
      <c r="D757" s="39" t="s">
        <v>31</v>
      </c>
      <c r="E757" s="234">
        <v>0.125</v>
      </c>
      <c r="F757" s="1" t="s">
        <v>408</v>
      </c>
      <c r="G757" s="244" t="str">
        <f>CONCATENATE(D757," - ",E757,", ")</f>
        <v>Misc. Alumn. Scrap - 0.125, </v>
      </c>
      <c r="H757" s="139"/>
    </row>
    <row r="758" spans="1:8" ht="15" customHeight="1">
      <c r="A758" s="274"/>
      <c r="B758" s="274"/>
      <c r="C758" s="277"/>
      <c r="D758" s="257" t="s">
        <v>37</v>
      </c>
      <c r="E758" s="148">
        <v>0.043</v>
      </c>
      <c r="F758" s="1" t="s">
        <v>408</v>
      </c>
      <c r="G758" s="244" t="str">
        <f>CONCATENATE(D758," - ",E758,", ")</f>
        <v>Burnt Cu scrap - 0.043, </v>
      </c>
      <c r="H758" s="139"/>
    </row>
    <row r="759" spans="1:8" ht="15" customHeight="1">
      <c r="A759" s="274"/>
      <c r="B759" s="274"/>
      <c r="C759" s="277"/>
      <c r="D759" s="257" t="s">
        <v>27</v>
      </c>
      <c r="E759" s="148">
        <v>0.177</v>
      </c>
      <c r="F759" s="1" t="s">
        <v>408</v>
      </c>
      <c r="G759" s="244" t="str">
        <f>CONCATENATE(D759," - ",E759,", ")</f>
        <v>Iron scrap - 0.177, </v>
      </c>
      <c r="H759" s="139"/>
    </row>
    <row r="760" spans="1:8" ht="15" customHeight="1">
      <c r="A760" s="274"/>
      <c r="B760" s="274"/>
      <c r="C760" s="277"/>
      <c r="D760" s="257" t="s">
        <v>59</v>
      </c>
      <c r="E760" s="148">
        <v>1.053</v>
      </c>
      <c r="F760" s="1" t="s">
        <v>408</v>
      </c>
      <c r="G760" s="244" t="str">
        <f>CONCATENATE(D760," - ",E760,", ")</f>
        <v>Nuts &amp; Bolts scrap - 1.053, </v>
      </c>
      <c r="H760" s="139"/>
    </row>
    <row r="761" spans="1:8" ht="15" customHeight="1">
      <c r="A761" s="1"/>
      <c r="B761" s="1"/>
      <c r="C761" s="1"/>
      <c r="D761" s="1"/>
      <c r="E761" s="1"/>
      <c r="H761" s="139"/>
    </row>
    <row r="762" spans="1:8" ht="15" customHeight="1">
      <c r="A762" s="279"/>
      <c r="B762" s="280"/>
      <c r="C762" s="82"/>
      <c r="D762" s="82"/>
      <c r="E762" s="174">
        <f>SUM(E764:E765)</f>
        <v>0.44999999999999996</v>
      </c>
      <c r="H762" s="139"/>
    </row>
    <row r="763" spans="1:18" ht="15" customHeight="1">
      <c r="A763" s="274" t="s">
        <v>5</v>
      </c>
      <c r="B763" s="274"/>
      <c r="C763" s="79" t="s">
        <v>17</v>
      </c>
      <c r="D763" s="80" t="s">
        <v>18</v>
      </c>
      <c r="E763" s="84" t="s">
        <v>7</v>
      </c>
      <c r="G763" s="128" t="str">
        <f>CONCATENATE("Misc. Healthy parts/ Non Ferrous  Scrap, Lying at ",C764,". Quantity in MT - ")</f>
        <v>Misc. Healthy parts/ Non Ferrous  Scrap, Lying at TRY Sangrur. Quantity in MT - </v>
      </c>
      <c r="H763" s="146" t="str">
        <f ca="1">CONCATENATE(G763,G764,(INDIRECT(I764)),(INDIRECT(J764)),(INDIRECT(K764)),(INDIRECT(L764)),(INDIRECT(M764)),(INDIRECT(N764)),(INDIRECT(O764)),(INDIRECT(P764)),(INDIRECT(Q764)),(INDIRECT(R764)),".")</f>
        <v>Misc. Healthy parts/ Non Ferrous  Scrap, Lying at TRY Sangrur. Quantity in MT - Brass scrap - 0.411, Misc. Alumn. Scrap - 0.039, .</v>
      </c>
      <c r="I763" s="135" t="str">
        <f aca="true" ca="1" t="array" ref="I763">CELL("address",INDEX(G763:G784,MATCH(TRUE,ISBLANK(G763:G784),0)))</f>
        <v>$G$766</v>
      </c>
      <c r="J763" s="135">
        <f aca="true" t="array" ref="J763">MATCH(TRUE,ISBLANK(G763:G784),0)</f>
        <v>4</v>
      </c>
      <c r="K763" s="135">
        <f>J763-3</f>
        <v>1</v>
      </c>
      <c r="L763" s="135"/>
      <c r="M763" s="135"/>
      <c r="N763" s="135"/>
      <c r="O763" s="135"/>
      <c r="P763" s="135"/>
      <c r="Q763" s="135"/>
      <c r="R763" s="135"/>
    </row>
    <row r="764" spans="1:18" ht="15" customHeight="1">
      <c r="A764" s="274" t="s">
        <v>434</v>
      </c>
      <c r="B764" s="274"/>
      <c r="C764" s="277" t="s">
        <v>137</v>
      </c>
      <c r="D764" s="39" t="s">
        <v>23</v>
      </c>
      <c r="E764" s="55">
        <v>0.411</v>
      </c>
      <c r="F764" s="1" t="s">
        <v>408</v>
      </c>
      <c r="G764" s="126" t="str">
        <f>CONCATENATE(D764," - ",E764,", ")</f>
        <v>Brass scrap - 0.411, </v>
      </c>
      <c r="H764" s="146"/>
      <c r="I764" s="135" t="str">
        <f ca="1">IF(J763&gt;=3,(MID(I763,2,1)&amp;MID(I763,4,4)-K763),CELL("address",Z764))</f>
        <v>G765</v>
      </c>
      <c r="J764" s="135" t="str">
        <f ca="1">IF(J763&gt;=4,(MID(I764,1,1)&amp;MID(I764,2,4)+1),CELL("address",AA764))</f>
        <v>G766</v>
      </c>
      <c r="K764" s="135" t="str">
        <f ca="1">IF(J763&gt;=5,(MID(J764,1,1)&amp;MID(J764,2,4)+1),CELL("address",AB764))</f>
        <v>$AB$764</v>
      </c>
      <c r="L764" s="135" t="str">
        <f ca="1">IF(J763&gt;=6,(MID(K764,1,1)&amp;MID(K764,2,4)+1),CELL("address",AC764))</f>
        <v>$AC$764</v>
      </c>
      <c r="M764" s="135" t="str">
        <f ca="1">IF(J763&gt;=7,(MID(L764,1,1)&amp;MID(L764,2,4)+1),CELL("address",AD764))</f>
        <v>$AD$764</v>
      </c>
      <c r="N764" s="135" t="str">
        <f ca="1">IF(J763&gt;=8,(MID(M764,1,1)&amp;MID(M764,2,4)+1),CELL("address",AE764))</f>
        <v>$AE$764</v>
      </c>
      <c r="O764" s="135" t="str">
        <f ca="1">IF(J763&gt;=9,(MID(N764,1,1)&amp;MID(N764,2,4)+1),CELL("address",AF764))</f>
        <v>$AF$764</v>
      </c>
      <c r="P764" s="135" t="str">
        <f ca="1">IF(J763&gt;=10,(MID(O764,1,1)&amp;MID(O764,2,4)+1),CELL("address",AG764))</f>
        <v>$AG$764</v>
      </c>
      <c r="Q764" s="135" t="str">
        <f ca="1">IF(J763&gt;=11,(MID(P764,1,1)&amp;MID(P764,2,4)+1),CELL("address",AH764))</f>
        <v>$AH$764</v>
      </c>
      <c r="R764" s="135" t="str">
        <f ca="1">IF(J763&gt;=12,(MID(Q764,1,1)&amp;MID(Q764,2,4)+1),CELL("address",AI764))</f>
        <v>$AI$764</v>
      </c>
    </row>
    <row r="765" spans="1:8" ht="15" customHeight="1">
      <c r="A765" s="274"/>
      <c r="B765" s="274"/>
      <c r="C765" s="277"/>
      <c r="D765" s="39" t="s">
        <v>31</v>
      </c>
      <c r="E765" s="234">
        <v>0.039</v>
      </c>
      <c r="F765" s="1" t="s">
        <v>408</v>
      </c>
      <c r="G765" s="126" t="str">
        <f>CONCATENATE(D765," - ",E765,", ")</f>
        <v>Misc. Alumn. Scrap - 0.039, </v>
      </c>
      <c r="H765" s="137"/>
    </row>
    <row r="766" spans="1:8" ht="15" customHeight="1">
      <c r="A766" s="1"/>
      <c r="B766" s="1"/>
      <c r="C766" s="1"/>
      <c r="D766" s="1"/>
      <c r="E766" s="1"/>
      <c r="H766" s="137"/>
    </row>
    <row r="767" spans="1:8" ht="15" customHeight="1">
      <c r="A767" s="1"/>
      <c r="B767" s="1"/>
      <c r="C767" s="1"/>
      <c r="D767" s="1"/>
      <c r="E767" s="1"/>
      <c r="H767" s="137"/>
    </row>
    <row r="768" spans="1:8" ht="15" customHeight="1">
      <c r="A768" s="1"/>
      <c r="B768" s="1"/>
      <c r="C768" s="1"/>
      <c r="D768" s="1"/>
      <c r="E768" s="1"/>
      <c r="H768" s="137"/>
    </row>
    <row r="769" spans="1:8" ht="15" customHeight="1">
      <c r="A769" s="1"/>
      <c r="B769" s="1"/>
      <c r="C769" s="1"/>
      <c r="D769" s="1"/>
      <c r="E769" s="1"/>
      <c r="H769" s="137"/>
    </row>
    <row r="770" spans="1:8" ht="11.25" customHeight="1">
      <c r="A770" s="1"/>
      <c r="B770" s="1"/>
      <c r="C770" s="1"/>
      <c r="D770" s="1"/>
      <c r="E770" s="1"/>
      <c r="H770" s="137"/>
    </row>
    <row r="771" spans="1:8" ht="11.25" customHeight="1">
      <c r="A771" s="1"/>
      <c r="B771" s="1"/>
      <c r="C771" s="1"/>
      <c r="D771" s="1"/>
      <c r="E771" s="1"/>
      <c r="H771" s="137"/>
    </row>
    <row r="772" spans="1:8" ht="11.25" customHeight="1">
      <c r="A772" s="1"/>
      <c r="B772" s="1"/>
      <c r="C772" s="1"/>
      <c r="D772" s="1"/>
      <c r="E772" s="1"/>
      <c r="H772" s="137"/>
    </row>
    <row r="773" spans="1:8" ht="11.25" customHeight="1">
      <c r="A773" s="1"/>
      <c r="B773" s="1"/>
      <c r="C773" s="1"/>
      <c r="D773" s="1"/>
      <c r="E773" s="1"/>
      <c r="H773" s="137"/>
    </row>
    <row r="774" spans="1:8" ht="11.25" customHeight="1">
      <c r="A774" s="1"/>
      <c r="B774" s="1"/>
      <c r="C774" s="1"/>
      <c r="D774" s="1"/>
      <c r="E774" s="1"/>
      <c r="H774" s="137"/>
    </row>
    <row r="775" spans="1:8" ht="11.25" customHeight="1">
      <c r="A775" s="1"/>
      <c r="B775" s="1"/>
      <c r="C775" s="1"/>
      <c r="D775" s="1"/>
      <c r="E775" s="1"/>
      <c r="H775" s="137"/>
    </row>
    <row r="776" spans="1:8" ht="11.25" customHeight="1">
      <c r="A776" s="1"/>
      <c r="B776" s="1"/>
      <c r="C776" s="1"/>
      <c r="D776" s="1"/>
      <c r="E776" s="1"/>
      <c r="H776" s="137"/>
    </row>
    <row r="777" spans="1:8" ht="11.25" customHeight="1">
      <c r="A777" s="1"/>
      <c r="B777" s="1"/>
      <c r="C777" s="1"/>
      <c r="D777" s="1"/>
      <c r="E777" s="1"/>
      <c r="H777" s="137"/>
    </row>
    <row r="778" spans="1:8" ht="11.25" customHeight="1">
      <c r="A778" s="1"/>
      <c r="B778" s="1"/>
      <c r="C778" s="1"/>
      <c r="D778" s="1"/>
      <c r="E778" s="1"/>
      <c r="H778" s="137"/>
    </row>
    <row r="779" spans="1:8" ht="11.25" customHeight="1">
      <c r="A779" s="1"/>
      <c r="B779" s="1"/>
      <c r="C779" s="1"/>
      <c r="D779" s="1"/>
      <c r="E779" s="1"/>
      <c r="H779" s="137"/>
    </row>
    <row r="780" spans="1:8" ht="11.25" customHeight="1">
      <c r="A780" s="1"/>
      <c r="B780" s="1"/>
      <c r="C780" s="1"/>
      <c r="D780" s="1"/>
      <c r="E780" s="1"/>
      <c r="H780" s="137"/>
    </row>
    <row r="781" spans="1:8" ht="11.25" customHeight="1">
      <c r="A781" s="1"/>
      <c r="B781" s="1"/>
      <c r="C781" s="1"/>
      <c r="D781" s="1"/>
      <c r="E781" s="1"/>
      <c r="H781" s="137"/>
    </row>
    <row r="782" spans="1:8" ht="15" customHeight="1">
      <c r="A782" s="1"/>
      <c r="B782" s="1"/>
      <c r="C782" s="1"/>
      <c r="D782" s="1"/>
      <c r="E782" s="1"/>
      <c r="H782" s="137"/>
    </row>
    <row r="783" spans="1:8" ht="15" customHeight="1">
      <c r="A783" s="1"/>
      <c r="B783" s="1"/>
      <c r="C783" s="1"/>
      <c r="D783" s="1"/>
      <c r="E783" s="1"/>
      <c r="H783" s="137"/>
    </row>
    <row r="784" spans="1:8" ht="15" customHeight="1">
      <c r="A784" s="1"/>
      <c r="B784" s="1"/>
      <c r="C784" s="1"/>
      <c r="D784" s="1"/>
      <c r="E784" s="1"/>
      <c r="H784" s="137"/>
    </row>
    <row r="785" spans="1:8" ht="15" customHeight="1">
      <c r="A785" s="1"/>
      <c r="B785" s="1"/>
      <c r="C785" s="1"/>
      <c r="D785" s="1"/>
      <c r="E785" s="1"/>
      <c r="H785" s="137"/>
    </row>
    <row r="786" spans="1:8" ht="15" customHeight="1">
      <c r="A786" s="1"/>
      <c r="B786" s="1"/>
      <c r="C786" s="1"/>
      <c r="D786" s="1"/>
      <c r="E786" s="1"/>
      <c r="H786" s="137"/>
    </row>
    <row r="787" spans="1:8" ht="15" customHeight="1">
      <c r="A787" s="1"/>
      <c r="B787" s="1"/>
      <c r="C787" s="1"/>
      <c r="D787" s="1"/>
      <c r="E787" s="1"/>
      <c r="H787" s="137"/>
    </row>
    <row r="788" spans="1:8" ht="34.5" customHeight="1">
      <c r="A788" s="1"/>
      <c r="B788" s="1"/>
      <c r="C788" s="1"/>
      <c r="D788" s="1"/>
      <c r="E788" s="1"/>
      <c r="H788" s="137"/>
    </row>
    <row r="789" spans="1:8" ht="28.5" customHeight="1">
      <c r="A789" s="1"/>
      <c r="B789" s="1"/>
      <c r="C789" s="1"/>
      <c r="D789" s="1"/>
      <c r="E789" s="1"/>
      <c r="H789" s="137"/>
    </row>
    <row r="790" spans="1:8" ht="15" customHeight="1">
      <c r="A790" s="1"/>
      <c r="B790" s="1"/>
      <c r="C790" s="1"/>
      <c r="D790" s="1"/>
      <c r="E790" s="1"/>
      <c r="H790" s="137"/>
    </row>
    <row r="791" spans="1:8" ht="15" customHeight="1">
      <c r="A791" s="1"/>
      <c r="B791" s="1"/>
      <c r="C791" s="1"/>
      <c r="D791" s="1"/>
      <c r="E791" s="1"/>
      <c r="H791" s="137"/>
    </row>
    <row r="792" spans="1:8" ht="15" customHeight="1">
      <c r="A792" s="1"/>
      <c r="B792" s="1"/>
      <c r="C792" s="1"/>
      <c r="D792" s="1"/>
      <c r="E792" s="1"/>
      <c r="H792" s="137"/>
    </row>
    <row r="793" spans="1:8" ht="15" customHeight="1">
      <c r="A793" s="1"/>
      <c r="B793" s="1"/>
      <c r="C793" s="1"/>
      <c r="D793" s="1"/>
      <c r="E793" s="1"/>
      <c r="H793" s="137"/>
    </row>
    <row r="794" spans="1:8" ht="15" customHeight="1">
      <c r="A794" s="1"/>
      <c r="B794" s="1"/>
      <c r="C794" s="1"/>
      <c r="D794" s="1"/>
      <c r="E794" s="1"/>
      <c r="H794" s="137"/>
    </row>
    <row r="795" spans="1:8" ht="15" customHeight="1">
      <c r="A795" s="1"/>
      <c r="B795" s="1"/>
      <c r="C795" s="1"/>
      <c r="D795" s="1"/>
      <c r="E795" s="1"/>
      <c r="H795" s="137"/>
    </row>
    <row r="796" spans="1:8" ht="15" customHeight="1">
      <c r="A796" s="1"/>
      <c r="B796" s="1"/>
      <c r="C796" s="1"/>
      <c r="D796" s="1"/>
      <c r="E796" s="1"/>
      <c r="H796" s="137"/>
    </row>
    <row r="797" spans="1:8" ht="15" customHeight="1">
      <c r="A797" s="1"/>
      <c r="B797" s="1"/>
      <c r="C797" s="1"/>
      <c r="D797" s="1"/>
      <c r="E797" s="1"/>
      <c r="H797" s="137"/>
    </row>
    <row r="798" spans="1:8" ht="15" customHeight="1">
      <c r="A798" s="1"/>
      <c r="B798" s="1"/>
      <c r="C798" s="1"/>
      <c r="D798" s="1"/>
      <c r="E798" s="1"/>
      <c r="H798" s="137"/>
    </row>
    <row r="799" spans="1:8" ht="15" customHeight="1">
      <c r="A799" s="1"/>
      <c r="B799" s="1"/>
      <c r="C799" s="1"/>
      <c r="D799" s="1"/>
      <c r="E799" s="1"/>
      <c r="H799" s="137"/>
    </row>
    <row r="800" spans="1:8" ht="15" customHeight="1">
      <c r="A800" s="1"/>
      <c r="B800" s="1"/>
      <c r="C800" s="1"/>
      <c r="D800" s="1"/>
      <c r="E800" s="1"/>
      <c r="H800" s="137"/>
    </row>
    <row r="801" spans="1:8" ht="15" customHeight="1">
      <c r="A801" s="1"/>
      <c r="B801" s="1"/>
      <c r="C801" s="1"/>
      <c r="D801" s="1"/>
      <c r="E801" s="1"/>
      <c r="H801" s="137"/>
    </row>
    <row r="802" spans="1:8" ht="15" customHeight="1">
      <c r="A802" s="1"/>
      <c r="B802" s="1"/>
      <c r="C802" s="1"/>
      <c r="D802" s="1"/>
      <c r="E802" s="1"/>
      <c r="H802" s="137"/>
    </row>
    <row r="803" spans="1:8" ht="15" customHeight="1">
      <c r="A803" s="1"/>
      <c r="B803" s="1"/>
      <c r="C803" s="1"/>
      <c r="D803" s="1"/>
      <c r="E803" s="1"/>
      <c r="H803" s="137"/>
    </row>
    <row r="804" spans="1:8" ht="15" customHeight="1">
      <c r="A804" s="1"/>
      <c r="B804" s="1"/>
      <c r="C804" s="1"/>
      <c r="D804" s="1"/>
      <c r="E804" s="1"/>
      <c r="H804" s="137"/>
    </row>
    <row r="805" spans="1:5" ht="15" customHeight="1">
      <c r="A805" s="1"/>
      <c r="B805" s="1"/>
      <c r="C805" s="1"/>
      <c r="D805" s="1"/>
      <c r="E805" s="1"/>
    </row>
    <row r="806" spans="1:5" ht="15" customHeight="1">
      <c r="A806" s="1"/>
      <c r="B806" s="1"/>
      <c r="C806" s="1"/>
      <c r="D806" s="1"/>
      <c r="E806" s="1"/>
    </row>
    <row r="807" spans="1:5" ht="15" customHeight="1">
      <c r="A807" s="1"/>
      <c r="B807" s="1"/>
      <c r="C807" s="1"/>
      <c r="D807" s="1"/>
      <c r="E807" s="1"/>
    </row>
    <row r="808" spans="1:5" ht="15" customHeight="1">
      <c r="A808" s="1"/>
      <c r="B808" s="1"/>
      <c r="C808" s="1"/>
      <c r="D808" s="1"/>
      <c r="E808" s="1"/>
    </row>
    <row r="809" spans="1:5" ht="15" customHeight="1">
      <c r="A809" s="1"/>
      <c r="B809" s="1"/>
      <c r="C809" s="1"/>
      <c r="D809" s="1"/>
      <c r="E809" s="1"/>
    </row>
    <row r="810" spans="1:5" ht="15" customHeight="1">
      <c r="A810" s="1"/>
      <c r="B810" s="1"/>
      <c r="C810" s="1"/>
      <c r="D810" s="1"/>
      <c r="E810" s="1"/>
    </row>
    <row r="811" spans="1:5" ht="15" customHeight="1">
      <c r="A811" s="1"/>
      <c r="B811" s="1"/>
      <c r="C811" s="1"/>
      <c r="D811" s="1"/>
      <c r="E811" s="1"/>
    </row>
    <row r="812" spans="1:5" ht="15.75" customHeight="1">
      <c r="A812" s="1"/>
      <c r="B812" s="1"/>
      <c r="C812" s="1"/>
      <c r="D812" s="1"/>
      <c r="E812" s="1"/>
    </row>
    <row r="813" spans="1:5" ht="15.75" customHeight="1">
      <c r="A813" s="1"/>
      <c r="B813" s="1"/>
      <c r="C813" s="1"/>
      <c r="D813" s="1"/>
      <c r="E813" s="1"/>
    </row>
    <row r="814" spans="1:5" ht="15.75" customHeight="1">
      <c r="A814" s="1"/>
      <c r="B814" s="1"/>
      <c r="C814" s="1"/>
      <c r="D814" s="1"/>
      <c r="E814" s="1"/>
    </row>
    <row r="815" spans="1:5" ht="15" customHeight="1">
      <c r="A815" s="1"/>
      <c r="B815" s="1"/>
      <c r="C815" s="1"/>
      <c r="D815" s="1"/>
      <c r="E815" s="1"/>
    </row>
    <row r="816" spans="1:5" ht="15" customHeight="1">
      <c r="A816" s="1"/>
      <c r="B816" s="1"/>
      <c r="C816" s="1"/>
      <c r="D816" s="1"/>
      <c r="E816" s="1"/>
    </row>
    <row r="817" spans="1:5" ht="15" customHeight="1">
      <c r="A817" s="1"/>
      <c r="B817" s="1"/>
      <c r="C817" s="1"/>
      <c r="D817" s="1"/>
      <c r="E817" s="1"/>
    </row>
    <row r="818" spans="1:5" ht="15" customHeight="1">
      <c r="A818" s="1"/>
      <c r="B818" s="1"/>
      <c r="C818" s="1"/>
      <c r="D818" s="1"/>
      <c r="E818" s="1"/>
    </row>
    <row r="819" spans="1:5" ht="15" customHeight="1">
      <c r="A819" s="1"/>
      <c r="B819" s="1"/>
      <c r="C819" s="1"/>
      <c r="D819" s="1"/>
      <c r="E819" s="1"/>
    </row>
    <row r="820" spans="1:5" ht="15" customHeight="1">
      <c r="A820" s="1"/>
      <c r="B820" s="1"/>
      <c r="C820" s="1"/>
      <c r="D820" s="1"/>
      <c r="E820" s="1"/>
    </row>
    <row r="821" spans="1:5" ht="15" customHeight="1">
      <c r="A821" s="1"/>
      <c r="B821" s="1"/>
      <c r="C821" s="1"/>
      <c r="D821" s="1"/>
      <c r="E821" s="1"/>
    </row>
    <row r="822" spans="1:5" ht="15" customHeight="1">
      <c r="A822" s="1"/>
      <c r="B822" s="1"/>
      <c r="C822" s="1"/>
      <c r="D822" s="1"/>
      <c r="E822" s="1"/>
    </row>
    <row r="823" spans="1:5" ht="15" customHeight="1">
      <c r="A823" s="1"/>
      <c r="B823" s="1"/>
      <c r="C823" s="1"/>
      <c r="D823" s="1"/>
      <c r="E823" s="1"/>
    </row>
    <row r="824" spans="1:5" ht="15" customHeight="1">
      <c r="A824" s="1"/>
      <c r="B824" s="1"/>
      <c r="C824" s="1"/>
      <c r="D824" s="1"/>
      <c r="E824" s="1"/>
    </row>
    <row r="825" spans="1:5" ht="15" customHeight="1">
      <c r="A825" s="1"/>
      <c r="B825" s="1"/>
      <c r="C825" s="1"/>
      <c r="D825" s="1"/>
      <c r="E825" s="1"/>
    </row>
    <row r="826" spans="1:5" ht="15" customHeight="1">
      <c r="A826" s="1"/>
      <c r="B826" s="1"/>
      <c r="C826" s="1"/>
      <c r="D826" s="1"/>
      <c r="E826" s="1"/>
    </row>
    <row r="827" spans="1:5" ht="15" customHeight="1">
      <c r="A827" s="1"/>
      <c r="B827" s="1"/>
      <c r="C827" s="1"/>
      <c r="D827" s="1"/>
      <c r="E827" s="1"/>
    </row>
    <row r="828" spans="1:5" ht="15" customHeight="1">
      <c r="A828" s="1"/>
      <c r="B828" s="1"/>
      <c r="C828" s="1"/>
      <c r="D828" s="1"/>
      <c r="E828" s="1"/>
    </row>
    <row r="829" spans="1:5" ht="15" customHeight="1">
      <c r="A829" s="1"/>
      <c r="B829" s="1"/>
      <c r="C829" s="1"/>
      <c r="D829" s="1"/>
      <c r="E829" s="1"/>
    </row>
    <row r="830" spans="1:5" ht="15" customHeight="1">
      <c r="A830" s="1"/>
      <c r="B830" s="1"/>
      <c r="C830" s="1"/>
      <c r="D830" s="1"/>
      <c r="E830" s="1"/>
    </row>
    <row r="831" spans="1:5" ht="15" customHeight="1">
      <c r="A831" s="1"/>
      <c r="B831" s="1"/>
      <c r="C831" s="1"/>
      <c r="D831" s="1"/>
      <c r="E831" s="1"/>
    </row>
    <row r="832" spans="1:5" ht="15" customHeight="1">
      <c r="A832" s="1"/>
      <c r="B832" s="1"/>
      <c r="C832" s="1"/>
      <c r="D832" s="1"/>
      <c r="E832" s="1"/>
    </row>
    <row r="833" spans="1:5" ht="15" customHeight="1">
      <c r="A833" s="1"/>
      <c r="B833" s="1"/>
      <c r="C833" s="1"/>
      <c r="D833" s="1"/>
      <c r="E833" s="1"/>
    </row>
    <row r="834" spans="1:5" ht="15" customHeight="1">
      <c r="A834" s="1"/>
      <c r="B834" s="1"/>
      <c r="C834" s="1"/>
      <c r="D834" s="1"/>
      <c r="E834" s="1"/>
    </row>
    <row r="835" spans="1:5" ht="15" customHeight="1">
      <c r="A835" s="1"/>
      <c r="B835" s="1"/>
      <c r="C835" s="1"/>
      <c r="D835" s="1"/>
      <c r="E835" s="1"/>
    </row>
    <row r="836" spans="1:5" ht="15" customHeight="1">
      <c r="A836" s="1"/>
      <c r="B836" s="1"/>
      <c r="C836" s="1"/>
      <c r="D836" s="1"/>
      <c r="E836" s="1"/>
    </row>
    <row r="837" spans="1:5" ht="15" customHeight="1">
      <c r="A837" s="1"/>
      <c r="B837" s="1"/>
      <c r="C837" s="1"/>
      <c r="D837" s="1"/>
      <c r="E837" s="1"/>
    </row>
    <row r="838" spans="1:5" ht="15" customHeight="1">
      <c r="A838" s="1"/>
      <c r="B838" s="1"/>
      <c r="C838" s="1"/>
      <c r="D838" s="1"/>
      <c r="E838" s="1"/>
    </row>
    <row r="839" spans="1:5" ht="15" customHeight="1">
      <c r="A839" s="1"/>
      <c r="B839" s="1"/>
      <c r="C839" s="1"/>
      <c r="D839" s="1"/>
      <c r="E839" s="1"/>
    </row>
    <row r="840" spans="1:5" ht="13.5" customHeight="1">
      <c r="A840" s="1"/>
      <c r="B840" s="1"/>
      <c r="C840" s="1"/>
      <c r="D840" s="1"/>
      <c r="E840" s="1"/>
    </row>
    <row r="841" spans="1:5" ht="13.5" customHeight="1">
      <c r="A841" s="1"/>
      <c r="B841" s="1"/>
      <c r="C841" s="1"/>
      <c r="D841" s="1"/>
      <c r="E841" s="1"/>
    </row>
    <row r="842" spans="1:5" ht="15" customHeight="1">
      <c r="A842" s="1"/>
      <c r="B842" s="1"/>
      <c r="C842" s="1"/>
      <c r="D842" s="1"/>
      <c r="E842" s="1"/>
    </row>
    <row r="843" spans="1:5" ht="15" customHeight="1">
      <c r="A843" s="1"/>
      <c r="B843" s="1"/>
      <c r="C843" s="1"/>
      <c r="D843" s="1"/>
      <c r="E843" s="1"/>
    </row>
    <row r="844" spans="1:5" ht="15" customHeight="1">
      <c r="A844" s="1"/>
      <c r="B844" s="1"/>
      <c r="C844" s="1"/>
      <c r="D844" s="1"/>
      <c r="E844" s="1"/>
    </row>
    <row r="845" spans="1:5" ht="15" customHeight="1">
      <c r="A845" s="1"/>
      <c r="B845" s="1"/>
      <c r="C845" s="1"/>
      <c r="D845" s="1"/>
      <c r="E845" s="1"/>
    </row>
    <row r="846" spans="1:5" ht="15" customHeight="1">
      <c r="A846" s="1"/>
      <c r="B846" s="1"/>
      <c r="C846" s="1"/>
      <c r="D846" s="1"/>
      <c r="E846" s="1"/>
    </row>
    <row r="847" spans="1:5" ht="16.5" customHeight="1">
      <c r="A847" s="1"/>
      <c r="B847" s="1"/>
      <c r="C847" s="1"/>
      <c r="D847" s="1"/>
      <c r="E847" s="1"/>
    </row>
    <row r="848" spans="1:5" ht="16.5" customHeight="1">
      <c r="A848" s="1"/>
      <c r="B848" s="1"/>
      <c r="C848" s="1"/>
      <c r="D848" s="1"/>
      <c r="E848" s="1"/>
    </row>
    <row r="849" spans="1:5" ht="16.5" customHeight="1">
      <c r="A849" s="1"/>
      <c r="B849" s="1"/>
      <c r="C849" s="1"/>
      <c r="D849" s="1"/>
      <c r="E849" s="1"/>
    </row>
    <row r="850" spans="1:5" ht="16.5" customHeight="1">
      <c r="A850" s="1"/>
      <c r="B850" s="1"/>
      <c r="C850" s="1"/>
      <c r="D850" s="1"/>
      <c r="E850" s="1"/>
    </row>
    <row r="851" spans="1:5" ht="16.5" customHeight="1">
      <c r="A851" s="1"/>
      <c r="B851" s="1"/>
      <c r="C851" s="1"/>
      <c r="D851" s="1"/>
      <c r="E851" s="1"/>
    </row>
    <row r="852" spans="1:5" ht="16.5" customHeight="1">
      <c r="A852" s="1"/>
      <c r="B852" s="1"/>
      <c r="C852" s="1"/>
      <c r="D852" s="1"/>
      <c r="E852" s="1"/>
    </row>
    <row r="853" spans="1:5" ht="16.5" customHeight="1">
      <c r="A853" s="1"/>
      <c r="B853" s="1"/>
      <c r="C853" s="1"/>
      <c r="D853" s="1"/>
      <c r="E853" s="1"/>
    </row>
    <row r="854" spans="1:5" ht="15" customHeight="1">
      <c r="A854" s="1"/>
      <c r="B854" s="1"/>
      <c r="C854" s="1"/>
      <c r="D854" s="1"/>
      <c r="E854" s="1"/>
    </row>
    <row r="855" spans="1:5" ht="15" customHeight="1">
      <c r="A855" s="1"/>
      <c r="B855" s="1"/>
      <c r="C855" s="1"/>
      <c r="D855" s="1"/>
      <c r="E855" s="1"/>
    </row>
    <row r="856" spans="1:5" ht="15" customHeight="1">
      <c r="A856" s="1"/>
      <c r="B856" s="1"/>
      <c r="C856" s="1"/>
      <c r="D856" s="1"/>
      <c r="E856" s="1"/>
    </row>
    <row r="857" spans="1:5" ht="14.25" customHeight="1">
      <c r="A857" s="1"/>
      <c r="B857" s="1"/>
      <c r="C857" s="1"/>
      <c r="D857" s="1"/>
      <c r="E857" s="1"/>
    </row>
    <row r="858" spans="1:5" ht="14.25" customHeight="1">
      <c r="A858" s="1"/>
      <c r="B858" s="1"/>
      <c r="C858" s="1"/>
      <c r="D858" s="1"/>
      <c r="E858" s="1"/>
    </row>
    <row r="859" spans="1:5" ht="14.25" customHeight="1">
      <c r="A859" s="1"/>
      <c r="B859" s="1"/>
      <c r="C859" s="1"/>
      <c r="D859" s="1"/>
      <c r="E859" s="1"/>
    </row>
    <row r="860" spans="1:5" ht="14.25" customHeight="1">
      <c r="A860" s="1"/>
      <c r="B860" s="1"/>
      <c r="C860" s="1"/>
      <c r="D860" s="1"/>
      <c r="E860" s="1"/>
    </row>
    <row r="861" spans="1:5" ht="14.25" customHeight="1">
      <c r="A861" s="1"/>
      <c r="B861" s="1"/>
      <c r="C861" s="1"/>
      <c r="D861" s="1"/>
      <c r="E861" s="1"/>
    </row>
    <row r="862" spans="1:5" ht="14.25" customHeight="1">
      <c r="A862" s="1"/>
      <c r="B862" s="1"/>
      <c r="C862" s="1"/>
      <c r="D862" s="1"/>
      <c r="E862" s="1"/>
    </row>
    <row r="863" spans="1:5" ht="14.25" customHeight="1">
      <c r="A863" s="1"/>
      <c r="B863" s="1"/>
      <c r="C863" s="1"/>
      <c r="D863" s="1"/>
      <c r="E863" s="1"/>
    </row>
    <row r="864" spans="1:5" ht="14.25" customHeight="1">
      <c r="A864" s="1"/>
      <c r="B864" s="1"/>
      <c r="C864" s="1"/>
      <c r="D864" s="1"/>
      <c r="E864" s="1"/>
    </row>
    <row r="865" spans="1:5" ht="14.25" customHeight="1">
      <c r="A865" s="1"/>
      <c r="B865" s="1"/>
      <c r="C865" s="1"/>
      <c r="D865" s="1"/>
      <c r="E865" s="1"/>
    </row>
    <row r="866" spans="1:5" ht="14.25" customHeight="1">
      <c r="A866" s="1"/>
      <c r="B866" s="1"/>
      <c r="C866" s="1"/>
      <c r="D866" s="1"/>
      <c r="E866" s="1"/>
    </row>
    <row r="867" spans="1:5" ht="14.25" customHeight="1">
      <c r="A867" s="1"/>
      <c r="B867" s="1"/>
      <c r="C867" s="1"/>
      <c r="D867" s="1"/>
      <c r="E867" s="1"/>
    </row>
    <row r="868" spans="1:5" ht="14.25" customHeight="1">
      <c r="A868" s="1"/>
      <c r="B868" s="1"/>
      <c r="C868" s="1"/>
      <c r="D868" s="1"/>
      <c r="E868" s="1"/>
    </row>
    <row r="869" spans="1:5" ht="14.25" customHeight="1">
      <c r="A869" s="1"/>
      <c r="B869" s="1"/>
      <c r="C869" s="1"/>
      <c r="D869" s="1"/>
      <c r="E869" s="1"/>
    </row>
    <row r="870" spans="1:5" ht="14.25" customHeight="1">
      <c r="A870" s="1"/>
      <c r="B870" s="1"/>
      <c r="C870" s="1"/>
      <c r="D870" s="1"/>
      <c r="E870" s="1"/>
    </row>
    <row r="871" spans="1:5" ht="14.25" customHeight="1">
      <c r="A871" s="1"/>
      <c r="B871" s="1"/>
      <c r="C871" s="1"/>
      <c r="D871" s="1"/>
      <c r="E871" s="1"/>
    </row>
    <row r="872" spans="1:5" ht="14.25" customHeight="1">
      <c r="A872" s="1"/>
      <c r="B872" s="1"/>
      <c r="C872" s="1"/>
      <c r="D872" s="1"/>
      <c r="E872" s="1"/>
    </row>
    <row r="873" spans="1:5" ht="14.25" customHeight="1">
      <c r="A873" s="1"/>
      <c r="B873" s="1"/>
      <c r="C873" s="1"/>
      <c r="D873" s="1"/>
      <c r="E873" s="1"/>
    </row>
    <row r="874" spans="1:5" ht="14.25" customHeight="1">
      <c r="A874" s="1"/>
      <c r="B874" s="1"/>
      <c r="C874" s="1"/>
      <c r="D874" s="1"/>
      <c r="E874" s="1"/>
    </row>
    <row r="875" spans="1:5" ht="14.25" customHeight="1">
      <c r="A875" s="1"/>
      <c r="B875" s="1"/>
      <c r="C875" s="1"/>
      <c r="D875" s="1"/>
      <c r="E875" s="1"/>
    </row>
    <row r="876" spans="1:5" ht="14.25" customHeight="1">
      <c r="A876" s="1"/>
      <c r="B876" s="1"/>
      <c r="C876" s="1"/>
      <c r="D876" s="1"/>
      <c r="E876" s="1"/>
    </row>
    <row r="877" spans="1:5" ht="14.25" customHeight="1">
      <c r="A877" s="1"/>
      <c r="B877" s="1"/>
      <c r="C877" s="1"/>
      <c r="D877" s="1"/>
      <c r="E877" s="1"/>
    </row>
    <row r="878" spans="1:5" ht="14.25" customHeight="1">
      <c r="A878" s="1"/>
      <c r="B878" s="1"/>
      <c r="C878" s="1"/>
      <c r="D878" s="1"/>
      <c r="E878" s="1"/>
    </row>
    <row r="879" spans="1:5" ht="14.25" customHeight="1">
      <c r="A879" s="1"/>
      <c r="B879" s="1"/>
      <c r="C879" s="1"/>
      <c r="D879" s="1"/>
      <c r="E879" s="1"/>
    </row>
    <row r="880" spans="1:5" ht="14.25" customHeight="1">
      <c r="A880" s="1"/>
      <c r="B880" s="1"/>
      <c r="C880" s="1"/>
      <c r="D880" s="1"/>
      <c r="E880" s="1"/>
    </row>
    <row r="881" spans="1:5" ht="14.25" customHeight="1">
      <c r="A881" s="1"/>
      <c r="B881" s="1"/>
      <c r="C881" s="1"/>
      <c r="D881" s="1"/>
      <c r="E881" s="1"/>
    </row>
    <row r="882" spans="1:5" ht="14.25" customHeight="1">
      <c r="A882" s="1"/>
      <c r="B882" s="1"/>
      <c r="C882" s="1"/>
      <c r="D882" s="1"/>
      <c r="E882" s="1"/>
    </row>
    <row r="883" spans="1:5" ht="14.25" customHeight="1">
      <c r="A883" s="1"/>
      <c r="B883" s="1"/>
      <c r="C883" s="1"/>
      <c r="D883" s="1"/>
      <c r="E883" s="1"/>
    </row>
    <row r="884" spans="1:5" ht="14.25" customHeight="1">
      <c r="A884" s="1"/>
      <c r="B884" s="1"/>
      <c r="C884" s="1"/>
      <c r="D884" s="1"/>
      <c r="E884" s="1"/>
    </row>
    <row r="885" spans="1:5" ht="14.25" customHeight="1">
      <c r="A885" s="1"/>
      <c r="B885" s="1"/>
      <c r="C885" s="1"/>
      <c r="D885" s="1"/>
      <c r="E885" s="1"/>
    </row>
    <row r="886" spans="1:5" ht="14.25" customHeight="1">
      <c r="A886" s="1"/>
      <c r="B886" s="1"/>
      <c r="C886" s="1"/>
      <c r="D886" s="1"/>
      <c r="E886" s="1"/>
    </row>
    <row r="887" spans="1:5" ht="14.25" customHeight="1">
      <c r="A887" s="1"/>
      <c r="B887" s="1"/>
      <c r="C887" s="1"/>
      <c r="D887" s="1"/>
      <c r="E887" s="1"/>
    </row>
    <row r="888" spans="1:5" ht="14.25" customHeight="1">
      <c r="A888" s="1"/>
      <c r="B888" s="1"/>
      <c r="C888" s="1"/>
      <c r="D888" s="1"/>
      <c r="E888" s="1"/>
    </row>
    <row r="889" spans="1:5" ht="14.25" customHeight="1">
      <c r="A889" s="1"/>
      <c r="B889" s="1"/>
      <c r="C889" s="1"/>
      <c r="D889" s="1"/>
      <c r="E889" s="1"/>
    </row>
    <row r="890" spans="1:5" ht="14.25" customHeight="1">
      <c r="A890" s="1"/>
      <c r="B890" s="1"/>
      <c r="C890" s="1"/>
      <c r="D890" s="1"/>
      <c r="E890" s="1"/>
    </row>
    <row r="891" spans="1:5" ht="14.25" customHeight="1">
      <c r="A891" s="1"/>
      <c r="B891" s="1"/>
      <c r="C891" s="1"/>
      <c r="D891" s="1"/>
      <c r="E891" s="1"/>
    </row>
    <row r="892" spans="1:5" ht="14.25" customHeight="1">
      <c r="A892" s="1"/>
      <c r="B892" s="1"/>
      <c r="C892" s="1"/>
      <c r="D892" s="1"/>
      <c r="E892" s="1"/>
    </row>
    <row r="893" spans="1:5" ht="14.25" customHeight="1">
      <c r="A893" s="1"/>
      <c r="B893" s="1"/>
      <c r="C893" s="1"/>
      <c r="D893" s="1"/>
      <c r="E893" s="1"/>
    </row>
    <row r="894" spans="1:5" ht="14.25" customHeight="1">
      <c r="A894" s="1"/>
      <c r="B894" s="1"/>
      <c r="C894" s="1"/>
      <c r="D894" s="1"/>
      <c r="E894" s="1"/>
    </row>
    <row r="895" spans="1:5" ht="14.25" customHeight="1">
      <c r="A895" s="1"/>
      <c r="B895" s="1"/>
      <c r="C895" s="1"/>
      <c r="D895" s="1"/>
      <c r="E895" s="1"/>
    </row>
    <row r="896" spans="1:5" ht="14.25" customHeight="1">
      <c r="A896" s="1"/>
      <c r="B896" s="1"/>
      <c r="C896" s="1"/>
      <c r="D896" s="1"/>
      <c r="E896" s="1"/>
    </row>
    <row r="897" spans="1:5" ht="14.25" customHeight="1">
      <c r="A897" s="1"/>
      <c r="B897" s="1"/>
      <c r="C897" s="1"/>
      <c r="D897" s="1"/>
      <c r="E897" s="1"/>
    </row>
    <row r="898" spans="1:5" ht="14.25" customHeight="1">
      <c r="A898" s="1"/>
      <c r="B898" s="1"/>
      <c r="C898" s="1"/>
      <c r="D898" s="1"/>
      <c r="E898" s="1"/>
    </row>
    <row r="899" spans="1:5" ht="14.25" customHeight="1">
      <c r="A899" s="1"/>
      <c r="B899" s="1"/>
      <c r="C899" s="1"/>
      <c r="D899" s="1"/>
      <c r="E899" s="1"/>
    </row>
    <row r="900" spans="1:5" ht="14.25" customHeight="1">
      <c r="A900" s="1"/>
      <c r="B900" s="1"/>
      <c r="C900" s="1"/>
      <c r="D900" s="1"/>
      <c r="E900" s="1"/>
    </row>
    <row r="901" spans="1:5" ht="14.25" customHeight="1">
      <c r="A901" s="1"/>
      <c r="B901" s="1"/>
      <c r="C901" s="1"/>
      <c r="D901" s="1"/>
      <c r="E901" s="1"/>
    </row>
    <row r="902" spans="1:5" ht="14.25" customHeight="1">
      <c r="A902" s="1"/>
      <c r="B902" s="1"/>
      <c r="C902" s="1"/>
      <c r="D902" s="1"/>
      <c r="E902" s="1"/>
    </row>
    <row r="903" spans="1:5" ht="14.25" customHeight="1">
      <c r="A903" s="1"/>
      <c r="B903" s="1"/>
      <c r="C903" s="1"/>
      <c r="D903" s="1"/>
      <c r="E903" s="1"/>
    </row>
    <row r="904" spans="1:5" ht="14.25" customHeight="1">
      <c r="A904" s="1"/>
      <c r="B904" s="1"/>
      <c r="C904" s="1"/>
      <c r="D904" s="1"/>
      <c r="E904" s="1"/>
    </row>
    <row r="905" spans="1:5" ht="14.25" customHeight="1">
      <c r="A905" s="1"/>
      <c r="B905" s="1"/>
      <c r="C905" s="1"/>
      <c r="D905" s="1"/>
      <c r="E905" s="1"/>
    </row>
    <row r="906" spans="1:5" ht="14.25" customHeight="1">
      <c r="A906" s="1"/>
      <c r="B906" s="1"/>
      <c r="C906" s="1"/>
      <c r="D906" s="1"/>
      <c r="E906" s="1"/>
    </row>
    <row r="907" spans="1:5" ht="14.25" customHeight="1">
      <c r="A907" s="1"/>
      <c r="B907" s="1"/>
      <c r="C907" s="1"/>
      <c r="D907" s="1"/>
      <c r="E907" s="1"/>
    </row>
    <row r="908" spans="1:5" ht="14.25" customHeight="1">
      <c r="A908" s="1"/>
      <c r="B908" s="1"/>
      <c r="C908" s="1"/>
      <c r="D908" s="1"/>
      <c r="E908" s="1"/>
    </row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9.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</sheetData>
  <sheetProtection/>
  <mergeCells count="500">
    <mergeCell ref="A237:E237"/>
    <mergeCell ref="A239:C239"/>
    <mergeCell ref="A243:C243"/>
    <mergeCell ref="H502:H503"/>
    <mergeCell ref="H509:H510"/>
    <mergeCell ref="H515:H516"/>
    <mergeCell ref="A471:B473"/>
    <mergeCell ref="A476:B476"/>
    <mergeCell ref="A477:B479"/>
    <mergeCell ref="C477:C479"/>
    <mergeCell ref="A764:B765"/>
    <mergeCell ref="C764:C765"/>
    <mergeCell ref="C756:C760"/>
    <mergeCell ref="A756:B760"/>
    <mergeCell ref="C23:D23"/>
    <mergeCell ref="A23:B23"/>
    <mergeCell ref="A502:B502"/>
    <mergeCell ref="C503:C506"/>
    <mergeCell ref="A509:B509"/>
    <mergeCell ref="A510:B512"/>
    <mergeCell ref="A754:B754"/>
    <mergeCell ref="A755:B755"/>
    <mergeCell ref="A762:B762"/>
    <mergeCell ref="A763:B763"/>
    <mergeCell ref="A503:B506"/>
    <mergeCell ref="C510:C512"/>
    <mergeCell ref="A515:B515"/>
    <mergeCell ref="A516:B516"/>
    <mergeCell ref="C532:D532"/>
    <mergeCell ref="A531:B531"/>
    <mergeCell ref="C749:C752"/>
    <mergeCell ref="A749:B752"/>
    <mergeCell ref="C654:C658"/>
    <mergeCell ref="A654:B658"/>
    <mergeCell ref="A692:B692"/>
    <mergeCell ref="A695:B695"/>
    <mergeCell ref="A696:B696"/>
    <mergeCell ref="C710:C712"/>
    <mergeCell ref="A708:B708"/>
    <mergeCell ref="A709:B709"/>
    <mergeCell ref="A523:B523"/>
    <mergeCell ref="C522:D522"/>
    <mergeCell ref="A524:B524"/>
    <mergeCell ref="C521:D521"/>
    <mergeCell ref="A747:B747"/>
    <mergeCell ref="A748:B748"/>
    <mergeCell ref="A532:B532"/>
    <mergeCell ref="C525:D525"/>
    <mergeCell ref="A525:B525"/>
    <mergeCell ref="A526:B526"/>
    <mergeCell ref="A520:B520"/>
    <mergeCell ref="A482:B482"/>
    <mergeCell ref="A483:B483"/>
    <mergeCell ref="A491:B491"/>
    <mergeCell ref="A492:B493"/>
    <mergeCell ref="A518:E518"/>
    <mergeCell ref="A496:B496"/>
    <mergeCell ref="C497:C499"/>
    <mergeCell ref="A497:B499"/>
    <mergeCell ref="H273:H274"/>
    <mergeCell ref="H266:H267"/>
    <mergeCell ref="H259:H260"/>
    <mergeCell ref="B267:C270"/>
    <mergeCell ref="H252:H253"/>
    <mergeCell ref="A465:B465"/>
    <mergeCell ref="B259:C259"/>
    <mergeCell ref="H288:H289"/>
    <mergeCell ref="H329:H330"/>
    <mergeCell ref="H336:H337"/>
    <mergeCell ref="A142:E142"/>
    <mergeCell ref="A117:C117"/>
    <mergeCell ref="A97:E97"/>
    <mergeCell ref="B252:C252"/>
    <mergeCell ref="A134:C134"/>
    <mergeCell ref="A217:C217"/>
    <mergeCell ref="A223:E223"/>
    <mergeCell ref="A225:C225"/>
    <mergeCell ref="A230:C230"/>
    <mergeCell ref="A202:E202"/>
    <mergeCell ref="A36:B36"/>
    <mergeCell ref="C36:D36"/>
    <mergeCell ref="C37:D37"/>
    <mergeCell ref="A38:B38"/>
    <mergeCell ref="A45:E45"/>
    <mergeCell ref="A47:C47"/>
    <mergeCell ref="C39:D39"/>
    <mergeCell ref="A39:B39"/>
    <mergeCell ref="A37:B37"/>
    <mergeCell ref="A64:C64"/>
    <mergeCell ref="A67:C67"/>
    <mergeCell ref="B272:C272"/>
    <mergeCell ref="A111:C111"/>
    <mergeCell ref="A250:C250"/>
    <mergeCell ref="H309:H310"/>
    <mergeCell ref="H301:H302"/>
    <mergeCell ref="B309:C309"/>
    <mergeCell ref="B310:C312"/>
    <mergeCell ref="B302:C306"/>
    <mergeCell ref="H281:H282"/>
    <mergeCell ref="H294:H295"/>
    <mergeCell ref="B323:C326"/>
    <mergeCell ref="B330:C333"/>
    <mergeCell ref="H315:H316"/>
    <mergeCell ref="H322:H323"/>
    <mergeCell ref="H360:H361"/>
    <mergeCell ref="B361:C363"/>
    <mergeCell ref="H343:H344"/>
    <mergeCell ref="B344:C350"/>
    <mergeCell ref="B329:C329"/>
    <mergeCell ref="H391:H392"/>
    <mergeCell ref="B367:C370"/>
    <mergeCell ref="H373:H374"/>
    <mergeCell ref="H353:H354"/>
    <mergeCell ref="B366:C366"/>
    <mergeCell ref="H395:H396"/>
    <mergeCell ref="A382:B383"/>
    <mergeCell ref="A354:A357"/>
    <mergeCell ref="A361:A363"/>
    <mergeCell ref="C396:C397"/>
    <mergeCell ref="A392:B392"/>
    <mergeCell ref="H386:H387"/>
    <mergeCell ref="H381:H382"/>
    <mergeCell ref="H366:H367"/>
    <mergeCell ref="A381:B381"/>
    <mergeCell ref="H625:H626"/>
    <mergeCell ref="H585:H586"/>
    <mergeCell ref="H423:H424"/>
    <mergeCell ref="H414:H415"/>
    <mergeCell ref="B549:C549"/>
    <mergeCell ref="H400:H401"/>
    <mergeCell ref="A466:B467"/>
    <mergeCell ref="C466:C467"/>
    <mergeCell ref="A470:B470"/>
    <mergeCell ref="A528:B528"/>
    <mergeCell ref="T582:W582"/>
    <mergeCell ref="H431:H432"/>
    <mergeCell ref="T416:X417"/>
    <mergeCell ref="H614:H615"/>
    <mergeCell ref="H447:H448"/>
    <mergeCell ref="H607:H608"/>
    <mergeCell ref="H594:H595"/>
    <mergeCell ref="H452:H453"/>
    <mergeCell ref="H439:H440"/>
    <mergeCell ref="S443:W443"/>
    <mergeCell ref="A702:B702"/>
    <mergeCell ref="A538:E538"/>
    <mergeCell ref="C440:C444"/>
    <mergeCell ref="A452:B452"/>
    <mergeCell ref="C453:C454"/>
    <mergeCell ref="C526:D526"/>
    <mergeCell ref="C527:D527"/>
    <mergeCell ref="C471:C473"/>
    <mergeCell ref="A534:B534"/>
    <mergeCell ref="B554:C554"/>
    <mergeCell ref="A344:A350"/>
    <mergeCell ref="A458:B458"/>
    <mergeCell ref="A459:B462"/>
    <mergeCell ref="H419:H420"/>
    <mergeCell ref="H578:H579"/>
    <mergeCell ref="H621:H622"/>
    <mergeCell ref="H406:H407"/>
    <mergeCell ref="A387:B388"/>
    <mergeCell ref="A396:B397"/>
    <mergeCell ref="A395:B395"/>
    <mergeCell ref="B545:C545"/>
    <mergeCell ref="A527:B527"/>
    <mergeCell ref="A573:E573"/>
    <mergeCell ref="A594:B594"/>
    <mergeCell ref="B543:C543"/>
    <mergeCell ref="B546:C546"/>
    <mergeCell ref="A521:B521"/>
    <mergeCell ref="A386:B386"/>
    <mergeCell ref="A431:B431"/>
    <mergeCell ref="A417:B417"/>
    <mergeCell ref="A439:B439"/>
    <mergeCell ref="A424:B428"/>
    <mergeCell ref="A453:B454"/>
    <mergeCell ref="A391:B391"/>
    <mergeCell ref="A413:B413"/>
    <mergeCell ref="A447:B447"/>
    <mergeCell ref="A710:B712"/>
    <mergeCell ref="A606:B606"/>
    <mergeCell ref="A706:B706"/>
    <mergeCell ref="A629:B629"/>
    <mergeCell ref="A615:B618"/>
    <mergeCell ref="A622:B622"/>
    <mergeCell ref="A652:B652"/>
    <mergeCell ref="A633:B633"/>
    <mergeCell ref="A634:B634"/>
    <mergeCell ref="A651:B651"/>
    <mergeCell ref="A662:B663"/>
    <mergeCell ref="A646:B646"/>
    <mergeCell ref="A660:B660"/>
    <mergeCell ref="A666:B666"/>
    <mergeCell ref="A661:B661"/>
    <mergeCell ref="A653:B653"/>
    <mergeCell ref="A647:B647"/>
    <mergeCell ref="B336:C336"/>
    <mergeCell ref="A267:A270"/>
    <mergeCell ref="B281:C281"/>
    <mergeCell ref="B301:C301"/>
    <mergeCell ref="B316:C319"/>
    <mergeCell ref="B337:C340"/>
    <mergeCell ref="B273:C273"/>
    <mergeCell ref="A522:B522"/>
    <mergeCell ref="C595:C599"/>
    <mergeCell ref="A576:E576"/>
    <mergeCell ref="A567:E567"/>
    <mergeCell ref="B548:C548"/>
    <mergeCell ref="A578:B578"/>
    <mergeCell ref="B539:C539"/>
    <mergeCell ref="B555:C555"/>
    <mergeCell ref="C523:D523"/>
    <mergeCell ref="B551:C551"/>
    <mergeCell ref="A595:B599"/>
    <mergeCell ref="A630:B632"/>
    <mergeCell ref="A608:B611"/>
    <mergeCell ref="A583:B583"/>
    <mergeCell ref="A614:B614"/>
    <mergeCell ref="A626:B626"/>
    <mergeCell ref="A605:B605"/>
    <mergeCell ref="C636:C640"/>
    <mergeCell ref="C615:C618"/>
    <mergeCell ref="C630:C632"/>
    <mergeCell ref="A624:B624"/>
    <mergeCell ref="C6:D6"/>
    <mergeCell ref="A6:B6"/>
    <mergeCell ref="A9:B9"/>
    <mergeCell ref="A10:B10"/>
    <mergeCell ref="A603:B604"/>
    <mergeCell ref="A621:B621"/>
    <mergeCell ref="C29:D29"/>
    <mergeCell ref="B359:C359"/>
    <mergeCell ref="B552:C552"/>
    <mergeCell ref="C579:C582"/>
    <mergeCell ref="C30:D30"/>
    <mergeCell ref="A1:E1"/>
    <mergeCell ref="A2:C2"/>
    <mergeCell ref="A4:E4"/>
    <mergeCell ref="A3:C3"/>
    <mergeCell ref="A5:D5"/>
    <mergeCell ref="A11:B11"/>
    <mergeCell ref="C13:D13"/>
    <mergeCell ref="C11:D11"/>
    <mergeCell ref="C22:D22"/>
    <mergeCell ref="A536:E536"/>
    <mergeCell ref="C432:C436"/>
    <mergeCell ref="A40:B40"/>
    <mergeCell ref="A26:D26"/>
    <mergeCell ref="A316:A319"/>
    <mergeCell ref="C407:C411"/>
    <mergeCell ref="A27:B27"/>
    <mergeCell ref="C27:D27"/>
    <mergeCell ref="C28:D28"/>
    <mergeCell ref="A35:B35"/>
    <mergeCell ref="A7:B7"/>
    <mergeCell ref="A8:B8"/>
    <mergeCell ref="C8:D8"/>
    <mergeCell ref="C7:D7"/>
    <mergeCell ref="C18:D18"/>
    <mergeCell ref="A17:B17"/>
    <mergeCell ref="A193:C193"/>
    <mergeCell ref="C9:D9"/>
    <mergeCell ref="C12:D12"/>
    <mergeCell ref="C10:D10"/>
    <mergeCell ref="A24:B24"/>
    <mergeCell ref="A12:B12"/>
    <mergeCell ref="A14:B14"/>
    <mergeCell ref="C14:D14"/>
    <mergeCell ref="A16:B16"/>
    <mergeCell ref="C17:D17"/>
    <mergeCell ref="A13:B13"/>
    <mergeCell ref="C15:D15"/>
    <mergeCell ref="A15:B15"/>
    <mergeCell ref="C16:D16"/>
    <mergeCell ref="D25:E25"/>
    <mergeCell ref="A18:B18"/>
    <mergeCell ref="C19:D19"/>
    <mergeCell ref="A19:B19"/>
    <mergeCell ref="C24:D24"/>
    <mergeCell ref="C20:D20"/>
    <mergeCell ref="A33:B33"/>
    <mergeCell ref="A30:B30"/>
    <mergeCell ref="A144:C144"/>
    <mergeCell ref="A99:C99"/>
    <mergeCell ref="A123:C123"/>
    <mergeCell ref="A128:E128"/>
    <mergeCell ref="A103:C103"/>
    <mergeCell ref="A43:E43"/>
    <mergeCell ref="A130:C130"/>
    <mergeCell ref="A92:C92"/>
    <mergeCell ref="A29:B29"/>
    <mergeCell ref="C33:D33"/>
    <mergeCell ref="A34:B34"/>
    <mergeCell ref="C35:D35"/>
    <mergeCell ref="C38:D38"/>
    <mergeCell ref="A62:E62"/>
    <mergeCell ref="A42:E42"/>
    <mergeCell ref="C34:D34"/>
    <mergeCell ref="C40:D40"/>
    <mergeCell ref="A32:B32"/>
    <mergeCell ref="A204:C204"/>
    <mergeCell ref="A207:C207"/>
    <mergeCell ref="A215:E215"/>
    <mergeCell ref="A161:C161"/>
    <mergeCell ref="B266:C266"/>
    <mergeCell ref="A187:E187"/>
    <mergeCell ref="A189:C189"/>
    <mergeCell ref="A166:C166"/>
    <mergeCell ref="B253:C256"/>
    <mergeCell ref="B264:C264"/>
    <mergeCell ref="A289:A291"/>
    <mergeCell ref="A407:B411"/>
    <mergeCell ref="A310:A312"/>
    <mergeCell ref="B315:C315"/>
    <mergeCell ref="A374:A377"/>
    <mergeCell ref="B354:C357"/>
    <mergeCell ref="A302:A306"/>
    <mergeCell ref="A295:A298"/>
    <mergeCell ref="A337:A340"/>
    <mergeCell ref="B322:C322"/>
    <mergeCell ref="B274:C278"/>
    <mergeCell ref="A330:A333"/>
    <mergeCell ref="A28:B28"/>
    <mergeCell ref="A253:A256"/>
    <mergeCell ref="B258:C258"/>
    <mergeCell ref="A274:A278"/>
    <mergeCell ref="A109:E109"/>
    <mergeCell ref="A41:E41"/>
    <mergeCell ref="A174:E174"/>
    <mergeCell ref="A176:C176"/>
    <mergeCell ref="C31:D31"/>
    <mergeCell ref="C32:D32"/>
    <mergeCell ref="A415:B416"/>
    <mergeCell ref="C415:C416"/>
    <mergeCell ref="A406:B406"/>
    <mergeCell ref="A400:B400"/>
    <mergeCell ref="B343:C343"/>
    <mergeCell ref="C387:C388"/>
    <mergeCell ref="A414:B414"/>
    <mergeCell ref="B353:C353"/>
    <mergeCell ref="B542:C542"/>
    <mergeCell ref="B540:C540"/>
    <mergeCell ref="B295:C298"/>
    <mergeCell ref="B294:C294"/>
    <mergeCell ref="A432:B436"/>
    <mergeCell ref="A420:B420"/>
    <mergeCell ref="A367:A370"/>
    <mergeCell ref="B374:C377"/>
    <mergeCell ref="C382:C383"/>
    <mergeCell ref="A323:A326"/>
    <mergeCell ref="A563:E563"/>
    <mergeCell ref="A419:B419"/>
    <mergeCell ref="C519:D519"/>
    <mergeCell ref="C520:D520"/>
    <mergeCell ref="A423:B423"/>
    <mergeCell ref="C424:C428"/>
    <mergeCell ref="C448:C449"/>
    <mergeCell ref="A440:B444"/>
    <mergeCell ref="A487:B488"/>
    <mergeCell ref="C487:C488"/>
    <mergeCell ref="C586:C591"/>
    <mergeCell ref="A574:E574"/>
    <mergeCell ref="A584:B584"/>
    <mergeCell ref="A601:B601"/>
    <mergeCell ref="A585:B585"/>
    <mergeCell ref="A613:B613"/>
    <mergeCell ref="A602:B602"/>
    <mergeCell ref="A586:B591"/>
    <mergeCell ref="A607:B607"/>
    <mergeCell ref="A593:B593"/>
    <mergeCell ref="C644:C645"/>
    <mergeCell ref="C662:C663"/>
    <mergeCell ref="A649:B650"/>
    <mergeCell ref="H602:H603"/>
    <mergeCell ref="H635:H636"/>
    <mergeCell ref="H629:H630"/>
    <mergeCell ref="H653:H654"/>
    <mergeCell ref="A625:B625"/>
    <mergeCell ref="A620:B620"/>
    <mergeCell ref="C649:C650"/>
    <mergeCell ref="H648:H649"/>
    <mergeCell ref="H661:H662"/>
    <mergeCell ref="C685:C686"/>
    <mergeCell ref="A685:B686"/>
    <mergeCell ref="A671:B671"/>
    <mergeCell ref="H643:H644"/>
    <mergeCell ref="C667:C668"/>
    <mergeCell ref="A665:B665"/>
    <mergeCell ref="A643:B643"/>
    <mergeCell ref="A644:B645"/>
    <mergeCell ref="H666:H667"/>
    <mergeCell ref="H671:H672"/>
    <mergeCell ref="A690:B690"/>
    <mergeCell ref="A680:B681"/>
    <mergeCell ref="C680:C681"/>
    <mergeCell ref="A670:B670"/>
    <mergeCell ref="H679:H680"/>
    <mergeCell ref="A679:B679"/>
    <mergeCell ref="A678:B678"/>
    <mergeCell ref="A667:B668"/>
    <mergeCell ref="A704:B704"/>
    <mergeCell ref="A701:B701"/>
    <mergeCell ref="A691:B691"/>
    <mergeCell ref="A703:B703"/>
    <mergeCell ref="A693:B693"/>
    <mergeCell ref="A694:B694"/>
    <mergeCell ref="A697:B697"/>
    <mergeCell ref="A699:B699"/>
    <mergeCell ref="A700:B700"/>
    <mergeCell ref="A698:B698"/>
    <mergeCell ref="A635:B635"/>
    <mergeCell ref="C603:C604"/>
    <mergeCell ref="H722:H723"/>
    <mergeCell ref="A721:B721"/>
    <mergeCell ref="A722:B722"/>
    <mergeCell ref="F704:G704"/>
    <mergeCell ref="A689:B689"/>
    <mergeCell ref="A688:B688"/>
    <mergeCell ref="A705:B705"/>
    <mergeCell ref="A715:B715"/>
    <mergeCell ref="A260:A263"/>
    <mergeCell ref="C672:C676"/>
    <mergeCell ref="A672:B676"/>
    <mergeCell ref="A579:B582"/>
    <mergeCell ref="A648:B648"/>
    <mergeCell ref="A636:B640"/>
    <mergeCell ref="C529:D529"/>
    <mergeCell ref="C530:D530"/>
    <mergeCell ref="A565:E565"/>
    <mergeCell ref="C608:C611"/>
    <mergeCell ref="B265:C265"/>
    <mergeCell ref="A519:B519"/>
    <mergeCell ref="C524:D524"/>
    <mergeCell ref="A684:B684"/>
    <mergeCell ref="A448:B449"/>
    <mergeCell ref="B373:C373"/>
    <mergeCell ref="B288:C288"/>
    <mergeCell ref="B360:C360"/>
    <mergeCell ref="C401:C403"/>
    <mergeCell ref="A401:B403"/>
    <mergeCell ref="A78:C78"/>
    <mergeCell ref="A83:C83"/>
    <mergeCell ref="A713:B713"/>
    <mergeCell ref="A683:B683"/>
    <mergeCell ref="A159:E159"/>
    <mergeCell ref="A149:C149"/>
    <mergeCell ref="B289:C291"/>
    <mergeCell ref="A180:C180"/>
    <mergeCell ref="C528:D528"/>
    <mergeCell ref="B260:C263"/>
    <mergeCell ref="A31:B31"/>
    <mergeCell ref="A735:B737"/>
    <mergeCell ref="C735:C737"/>
    <mergeCell ref="A729:B729"/>
    <mergeCell ref="A730:B730"/>
    <mergeCell ref="A731:B731"/>
    <mergeCell ref="A716:B719"/>
    <mergeCell ref="A734:B734"/>
    <mergeCell ref="A733:B733"/>
    <mergeCell ref="A76:E76"/>
    <mergeCell ref="A714:B714"/>
    <mergeCell ref="A740:B740"/>
    <mergeCell ref="A741:B741"/>
    <mergeCell ref="A20:B20"/>
    <mergeCell ref="C21:D21"/>
    <mergeCell ref="A21:B21"/>
    <mergeCell ref="A22:B22"/>
    <mergeCell ref="B557:C557"/>
    <mergeCell ref="B558:C558"/>
    <mergeCell ref="A486:B486"/>
    <mergeCell ref="A418:B418"/>
    <mergeCell ref="H476:H477"/>
    <mergeCell ref="H482:H483"/>
    <mergeCell ref="H486:H487"/>
    <mergeCell ref="H458:H459"/>
    <mergeCell ref="H465:H466"/>
    <mergeCell ref="C459:C462"/>
    <mergeCell ref="A464:B464"/>
    <mergeCell ref="A481:B481"/>
    <mergeCell ref="B561:C561"/>
    <mergeCell ref="H491:H492"/>
    <mergeCell ref="H496:H497"/>
    <mergeCell ref="A743:B743"/>
    <mergeCell ref="A744:B744"/>
    <mergeCell ref="A745:B745"/>
    <mergeCell ref="A739:B739"/>
    <mergeCell ref="C716:C719"/>
    <mergeCell ref="A723:B727"/>
    <mergeCell ref="C723:C727"/>
    <mergeCell ref="H470:H471"/>
    <mergeCell ref="B282:C285"/>
    <mergeCell ref="A282:A285"/>
    <mergeCell ref="C533:D533"/>
    <mergeCell ref="A533:B533"/>
    <mergeCell ref="B560:C560"/>
    <mergeCell ref="C531:D531"/>
    <mergeCell ref="C492:C493"/>
    <mergeCell ref="A529:B529"/>
    <mergeCell ref="A530:B530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5" r:id="rId1"/>
  <headerFooter alignWithMargins="0">
    <oddHeader>&amp;R&amp;P</oddHeader>
    <oddFooter>&amp;L&amp;14A.O. / Disposal&amp;C&amp;14Sr.XEN. / Disposal&amp;R&amp;14COS and D ( South), PTA</oddFooter>
  </headerFooter>
  <rowBreaks count="2" manualBreakCount="2">
    <brk id="66" max="4" man="1"/>
    <brk id="1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23.140625" style="0" customWidth="1"/>
    <col min="2" max="2" width="69.8515625" style="30" customWidth="1"/>
    <col min="3" max="3" width="24.8515625" style="0" customWidth="1"/>
    <col min="4" max="4" width="18.140625" style="0" hidden="1" customWidth="1"/>
    <col min="5" max="5" width="23.140625" style="0" hidden="1" customWidth="1"/>
    <col min="6" max="7" width="9.140625" style="0" hidden="1" customWidth="1"/>
    <col min="8" max="8" width="119.7109375" style="0" customWidth="1"/>
  </cols>
  <sheetData>
    <row r="1" spans="1:5" ht="16.5">
      <c r="A1" s="367" t="s">
        <v>85</v>
      </c>
      <c r="B1" s="367"/>
      <c r="C1" s="367"/>
      <c r="D1" s="29"/>
      <c r="E1" s="29"/>
    </row>
    <row r="2" spans="1:2" ht="12.75">
      <c r="A2" s="35" t="str">
        <f>scrap!A2</f>
        <v>E - Auction Notice No. -</v>
      </c>
      <c r="B2" s="34" t="str">
        <f>scrap!D2</f>
        <v>EA-57 /PTA-2023-24</v>
      </c>
    </row>
    <row r="3" spans="1:2" ht="12.75">
      <c r="A3" s="35" t="str">
        <f>scrap!A3</f>
        <v>Date of Auction -</v>
      </c>
      <c r="B3" s="34" t="str">
        <f>scrap!D3</f>
        <v>12.12.2023</v>
      </c>
    </row>
    <row r="4" spans="1:2" ht="12.75">
      <c r="A4" s="35"/>
      <c r="B4" s="34"/>
    </row>
    <row r="5" spans="1:3" s="31" customFormat="1" ht="20.25" customHeight="1">
      <c r="A5" s="101" t="s">
        <v>5</v>
      </c>
      <c r="B5" s="102" t="s">
        <v>82</v>
      </c>
      <c r="C5" s="101" t="s">
        <v>83</v>
      </c>
    </row>
    <row r="6" spans="1:8" s="31" customFormat="1" ht="20.25" customHeight="1">
      <c r="A6" s="114" t="s">
        <v>167</v>
      </c>
      <c r="B6" s="150" t="s">
        <v>166</v>
      </c>
      <c r="C6" s="52">
        <v>228</v>
      </c>
      <c r="E6"/>
      <c r="H6" s="147" t="str">
        <f aca="true" t="shared" si="0" ref="H6:H16">CONCATENATE("E-Waste Scrap (Meter scrap), Lying at ",B6,". Quantity in Kg - ",C6,)</f>
        <v>E-Waste Scrap (Meter scrap), Lying at ME LAB PATIALA (Crushed Meter Scrap/E-Waste). Quantity in Kg - 228</v>
      </c>
    </row>
    <row r="7" spans="1:8" s="31" customFormat="1" ht="20.25" customHeight="1">
      <c r="A7" s="114" t="s">
        <v>292</v>
      </c>
      <c r="B7" s="150" t="s">
        <v>154</v>
      </c>
      <c r="C7" s="52">
        <v>310</v>
      </c>
      <c r="E7"/>
      <c r="F7" s="31">
        <v>92</v>
      </c>
      <c r="H7" s="147" t="str">
        <f t="shared" si="0"/>
        <v>E-Waste Scrap (Meter scrap), Lying at ME LAB SANGRUR (Crushed Meter Scrap/E-Waste). Quantity in Kg - 310</v>
      </c>
    </row>
    <row r="8" spans="1:8" s="31" customFormat="1" ht="20.25" customHeight="1">
      <c r="A8" s="114" t="s">
        <v>293</v>
      </c>
      <c r="B8" s="150" t="s">
        <v>155</v>
      </c>
      <c r="C8" s="52">
        <v>55</v>
      </c>
      <c r="E8"/>
      <c r="H8" s="147" t="str">
        <f t="shared" si="0"/>
        <v>E-Waste Scrap (Meter scrap), Lying at ME LAB ROPAR (Crushed Meter Scrap/E-Waste). Quantity in Kg - 55</v>
      </c>
    </row>
    <row r="9" spans="1:8" s="31" customFormat="1" ht="20.25" customHeight="1">
      <c r="A9" s="114" t="s">
        <v>294</v>
      </c>
      <c r="B9" s="150" t="s">
        <v>290</v>
      </c>
      <c r="C9" s="52">
        <v>625.39</v>
      </c>
      <c r="E9"/>
      <c r="H9" s="147" t="str">
        <f t="shared" si="0"/>
        <v>E-Waste Scrap (Meter scrap), Lying at ME LAB MOGA (Crushed Meter Scrap/E-Waste). Quantity in Kg - 625.39</v>
      </c>
    </row>
    <row r="10" spans="1:8" s="31" customFormat="1" ht="20.25" customHeight="1">
      <c r="A10" s="114" t="s">
        <v>295</v>
      </c>
      <c r="B10" s="150" t="s">
        <v>291</v>
      </c>
      <c r="C10" s="52">
        <v>1364.12</v>
      </c>
      <c r="E10"/>
      <c r="H10" s="147" t="str">
        <f t="shared" si="0"/>
        <v>E-Waste Scrap (Meter scrap), Lying at ME LAB SHRI MUKTSAR SAHIB (Crushed Meter Scrap/E-Waste). Quantity in Kg - 1364.12</v>
      </c>
    </row>
    <row r="11" spans="1:8" s="31" customFormat="1" ht="20.25" customHeight="1">
      <c r="A11" s="114" t="s">
        <v>296</v>
      </c>
      <c r="B11" s="152" t="s">
        <v>160</v>
      </c>
      <c r="C11" s="92">
        <v>1270</v>
      </c>
      <c r="E11"/>
      <c r="G11" s="161"/>
      <c r="H11" s="147" t="str">
        <f t="shared" si="0"/>
        <v>E-Waste Scrap (Meter scrap), Lying at ME LAB PATIALA  (Electronic Meter Scrap/E-Waste )  . Quantity in Kg - 1270</v>
      </c>
    </row>
    <row r="12" spans="1:8" s="31" customFormat="1" ht="20.25" customHeight="1">
      <c r="A12" s="114" t="s">
        <v>427</v>
      </c>
      <c r="B12" s="152" t="s">
        <v>161</v>
      </c>
      <c r="C12" s="92">
        <v>2404</v>
      </c>
      <c r="E12"/>
      <c r="H12" s="147" t="str">
        <f t="shared" si="0"/>
        <v>E-Waste Scrap (Meter scrap), Lying at ME LAB ROPAR  (Electronic Meter Scrap/E-Waste )  . Quantity in Kg - 2404</v>
      </c>
    </row>
    <row r="13" spans="1:8" s="31" customFormat="1" ht="20.25" customHeight="1">
      <c r="A13" s="114" t="s">
        <v>428</v>
      </c>
      <c r="B13" s="152" t="s">
        <v>299</v>
      </c>
      <c r="C13" s="246">
        <v>1715</v>
      </c>
      <c r="E13"/>
      <c r="F13" s="31" t="s">
        <v>255</v>
      </c>
      <c r="H13" s="247" t="str">
        <f t="shared" si="0"/>
        <v>E-Waste Scrap (Meter scrap), Lying at ME LAB SANGRUR  (Electronic Meter Scrap/E-Waste )  . Quantity in Kg - 1715</v>
      </c>
    </row>
    <row r="14" spans="1:8" s="31" customFormat="1" ht="20.25" customHeight="1">
      <c r="A14" s="114" t="s">
        <v>429</v>
      </c>
      <c r="B14" s="239" t="s">
        <v>424</v>
      </c>
      <c r="C14" s="162">
        <v>2564.19</v>
      </c>
      <c r="D14" s="248"/>
      <c r="E14" s="249"/>
      <c r="F14" s="248"/>
      <c r="G14" s="248"/>
      <c r="H14" s="147" t="str">
        <f t="shared" si="0"/>
        <v>E-Waste Scrap (Meter scrap), Lying at ME LAB BATHINDA  (Electronic Meter Scrap/E-Waste )  . Quantity in Kg - 2564.19</v>
      </c>
    </row>
    <row r="15" spans="1:8" s="31" customFormat="1" ht="20.25" customHeight="1">
      <c r="A15" s="114" t="s">
        <v>430</v>
      </c>
      <c r="B15" s="239" t="s">
        <v>425</v>
      </c>
      <c r="C15" s="162">
        <v>1096.507</v>
      </c>
      <c r="D15" s="248"/>
      <c r="E15" s="249"/>
      <c r="F15" s="248"/>
      <c r="G15" s="248"/>
      <c r="H15" s="147" t="str">
        <f t="shared" si="0"/>
        <v>E-Waste Scrap (Meter scrap), Lying at ME LAB MOGA (Electronic Meter Scrap/E-Waste )  . Quantity in Kg - 1096.507</v>
      </c>
    </row>
    <row r="16" spans="1:8" s="31" customFormat="1" ht="20.25" customHeight="1">
      <c r="A16" s="114" t="s">
        <v>451</v>
      </c>
      <c r="B16" s="239" t="s">
        <v>426</v>
      </c>
      <c r="C16" s="162">
        <v>1450.865</v>
      </c>
      <c r="D16" s="248"/>
      <c r="E16" s="249"/>
      <c r="F16" s="248"/>
      <c r="G16" s="248"/>
      <c r="H16" s="147" t="str">
        <f t="shared" si="0"/>
        <v>E-Waste Scrap (Meter scrap), Lying at ME LAB SHRI MUKSAR SAHIB  (Electronic Meter Scrap/E-Waste )  . Quantity in Kg - 1450.865</v>
      </c>
    </row>
    <row r="17" spans="1:5" s="31" customFormat="1" ht="15" customHeight="1">
      <c r="A17" s="42"/>
      <c r="B17" s="43"/>
      <c r="C17" s="110"/>
      <c r="E17"/>
    </row>
    <row r="18" spans="1:3" s="31" customFormat="1" ht="15">
      <c r="A18" s="36" t="s">
        <v>84</v>
      </c>
      <c r="B18" s="37" t="s">
        <v>88</v>
      </c>
      <c r="C18" s="38" t="s">
        <v>87</v>
      </c>
    </row>
    <row r="19" spans="1:3" s="31" customFormat="1" ht="15">
      <c r="A19" s="36" t="s">
        <v>86</v>
      </c>
      <c r="B19" s="36" t="s">
        <v>86</v>
      </c>
      <c r="C19" s="36" t="s">
        <v>86</v>
      </c>
    </row>
    <row r="20" spans="1:3" s="31" customFormat="1" ht="13.5">
      <c r="A20" s="32"/>
      <c r="B20" s="33"/>
      <c r="C20" s="3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Sukhvinder Singh</cp:lastModifiedBy>
  <cp:lastPrinted>2023-11-10T07:16:45Z</cp:lastPrinted>
  <dcterms:created xsi:type="dcterms:W3CDTF">1996-10-14T23:33:28Z</dcterms:created>
  <dcterms:modified xsi:type="dcterms:W3CDTF">2023-12-09T09:56:42Z</dcterms:modified>
  <cp:category/>
  <cp:version/>
  <cp:contentType/>
  <cp:contentStatus/>
</cp:coreProperties>
</file>