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6180" tabRatio="923" activeTab="0"/>
  </bookViews>
  <sheets>
    <sheet name="scrap" sheetId="1" r:id="rId1"/>
    <sheet name="E-WASTE" sheetId="2" r:id="rId2"/>
  </sheets>
  <definedNames>
    <definedName name="_xlfn.SINGLE" hidden="1">#NAME?</definedName>
    <definedName name="_xlnm.Print_Area" localSheetId="1">'E-WASTE'!$A$1:$C$28</definedName>
    <definedName name="_xlnm.Print_Area" localSheetId="0">'scrap'!$A$1:$E$1364</definedName>
  </definedNames>
  <calcPr fullCalcOnLoad="1"/>
</workbook>
</file>

<file path=xl/sharedStrings.xml><?xml version="1.0" encoding="utf-8"?>
<sst xmlns="http://schemas.openxmlformats.org/spreadsheetml/2006/main" count="2216" uniqueCount="785">
  <si>
    <t>A - Aluminium Conductor Steel Reinforced Scrap</t>
  </si>
  <si>
    <t>Registration no. of Vehicle</t>
  </si>
  <si>
    <t>Type of vehicle/ Model</t>
  </si>
  <si>
    <t>Present Location of vehicle</t>
  </si>
  <si>
    <t>Name of the office to which it relates/ Phone no. of the person to be contacted.</t>
  </si>
  <si>
    <t>Lot No.</t>
  </si>
  <si>
    <t>Name of Store where material is lying</t>
  </si>
  <si>
    <t>Quantity in MT</t>
  </si>
  <si>
    <t>I) Misc. items scrap lying as per detail given:-</t>
  </si>
  <si>
    <t>E - Auction Notice No. -</t>
  </si>
  <si>
    <t>Date of Auction -</t>
  </si>
  <si>
    <t>H- Damaged Distribution Transformer's HT/LT Aluminium coils scrap with insulation</t>
  </si>
  <si>
    <t>B)- Damaged Distribution Transformer's HT/LT Aluminium coils scrap with insulation</t>
  </si>
  <si>
    <t>E)  Miscellaneous Iron scrap</t>
  </si>
  <si>
    <t>G.Total</t>
  </si>
  <si>
    <t>K- Damaged Distribution Transformer's HT/LT Aluminium coils scrap with insulation</t>
  </si>
  <si>
    <t>J) Aluminium Conductor Steel Reinforced Scrap</t>
  </si>
  <si>
    <t xml:space="preserve">Name of Store </t>
  </si>
  <si>
    <t>Description of material</t>
  </si>
  <si>
    <t>Pilot W/Shop Sri Muktsar Sahib</t>
  </si>
  <si>
    <t>MS iron scrap / GI scrap</t>
  </si>
  <si>
    <t>Lot no. E - 1</t>
  </si>
  <si>
    <t xml:space="preserve">D) Misc.  Cable scrap </t>
  </si>
  <si>
    <t>Brass scrap</t>
  </si>
  <si>
    <t>Misc. Aluminium scrap</t>
  </si>
  <si>
    <t xml:space="preserve"> Q  Miscellaneous Healthy parts/ Non ferrous scrap material</t>
  </si>
  <si>
    <t>Lot no. Q-3</t>
  </si>
  <si>
    <t>Iron scrap</t>
  </si>
  <si>
    <t>TRY Malerkotla</t>
  </si>
  <si>
    <t>MS iron scrap</t>
  </si>
  <si>
    <t>Lot no. E - 2</t>
  </si>
  <si>
    <t>Misc. Alumn. Scrap</t>
  </si>
  <si>
    <t>All Alumn. Conductor Scrap</t>
  </si>
  <si>
    <t>Lot no. E - 3</t>
  </si>
  <si>
    <t>Lot no. Q-1</t>
  </si>
  <si>
    <t>Lot no. D-1</t>
  </si>
  <si>
    <t>TRY Bathinda</t>
  </si>
  <si>
    <t>Burnt Cu scrap</t>
  </si>
  <si>
    <t>Lot no. Q-4</t>
  </si>
  <si>
    <t>Lot no. Q-6</t>
  </si>
  <si>
    <t>Lot no. Q-7</t>
  </si>
  <si>
    <t>Burnt Aluminium scrap</t>
  </si>
  <si>
    <t>TRY Ferozepur</t>
  </si>
  <si>
    <t>CS Kotkapura</t>
  </si>
  <si>
    <t>Lot no. Q-10</t>
  </si>
  <si>
    <t>Misc. Copper scrap</t>
  </si>
  <si>
    <t>OL store Ropar</t>
  </si>
  <si>
    <t>Burnt copper scrap</t>
  </si>
  <si>
    <t>Lot no. Q-5</t>
  </si>
  <si>
    <t>L)  Condemned/obsolete Vehicles * (Without RC )</t>
  </si>
  <si>
    <t xml:space="preserve">M-LOT -  Three phase Copper/ Aluminium and single phase copper/ Alu wound Damaged Distribution Transformers As Per Actual Site Condition </t>
  </si>
  <si>
    <t>Lot no. E - 4</t>
  </si>
  <si>
    <t>CS Patiala</t>
  </si>
  <si>
    <t>Lot no. Q-11</t>
  </si>
  <si>
    <t>Pilot Workshop Mohali</t>
  </si>
  <si>
    <t>HT Wire scrap &amp; other intermingled iron scrap</t>
  </si>
  <si>
    <t>MS iron scrap ( MS sections, scrapped T&amp;P etc)</t>
  </si>
  <si>
    <t>S &amp; T Store Bathinda</t>
  </si>
  <si>
    <t>Nuts &amp; Bolts scrap</t>
  </si>
  <si>
    <t>OL Mansa</t>
  </si>
  <si>
    <t>Transformer body scrap</t>
  </si>
  <si>
    <t>MS Rail scrap</t>
  </si>
  <si>
    <t>CS Mohali</t>
  </si>
  <si>
    <t>CS Bathinda</t>
  </si>
  <si>
    <t>Teen Patra scrap</t>
  </si>
  <si>
    <t>Lot no. E - 5</t>
  </si>
  <si>
    <t>Lot no. E - 6</t>
  </si>
  <si>
    <t>Lot no. E - 7</t>
  </si>
  <si>
    <t>Lot no. E - 8</t>
  </si>
  <si>
    <t>Quantity in No</t>
  </si>
  <si>
    <t>Disc Insulator Scrap</t>
  </si>
  <si>
    <t>HT wire scrap off size</t>
  </si>
  <si>
    <t>Controller of Stores &amp; Disposal (South), PSPCL, Patiala</t>
  </si>
  <si>
    <t>Lot No B-1</t>
  </si>
  <si>
    <t>Lot No A-1</t>
  </si>
  <si>
    <t xml:space="preserve"> Iron scrap</t>
  </si>
  <si>
    <t>Quantity No</t>
  </si>
  <si>
    <t>CT/PT Units</t>
  </si>
  <si>
    <t>Lot no. I-1</t>
  </si>
  <si>
    <t>CS Sangrur</t>
  </si>
  <si>
    <t>Lot no. Q-8</t>
  </si>
  <si>
    <t>E-Waste Scrap(Meter Scrap) lying at</t>
  </si>
  <si>
    <t>Quantity ( in Kg.)</t>
  </si>
  <si>
    <t>A.O/Disposal</t>
  </si>
  <si>
    <r>
      <t xml:space="preserve">PUNJAB STATE POWER CORPORATION LIMITED  </t>
    </r>
    <r>
      <rPr>
        <b/>
        <sz val="11"/>
        <color indexed="8"/>
        <rFont val="Comic Sans MS"/>
        <family val="4"/>
      </rPr>
      <t xml:space="preserve">         </t>
    </r>
  </si>
  <si>
    <t>Patiala</t>
  </si>
  <si>
    <t>COS&amp;D(South)</t>
  </si>
  <si>
    <t>Sr Xen/Disposal</t>
  </si>
  <si>
    <t>PB-11 AH-0925</t>
  </si>
  <si>
    <t>SHAKTI VIHAR SHEDS PSPCL PATIALA</t>
  </si>
  <si>
    <t>2/core PVC Alumn. Cable scrap</t>
  </si>
  <si>
    <t>4/core PVC Alumn. Cable scrap</t>
  </si>
  <si>
    <t>3/ core XLPE Alu cable scrap</t>
  </si>
  <si>
    <t>Lot no. D-2</t>
  </si>
  <si>
    <t>Lot no. D-3</t>
  </si>
  <si>
    <t>CS Malout</t>
  </si>
  <si>
    <t>Lot no. D-4</t>
  </si>
  <si>
    <t>1/ core XLPE Alu cable scrap</t>
  </si>
  <si>
    <t>OL Ropar</t>
  </si>
  <si>
    <t>CS Ferozepur</t>
  </si>
  <si>
    <t>OL Bhagta Bhai Ka</t>
  </si>
  <si>
    <t>OL store Patran</t>
  </si>
  <si>
    <t>OL Patran</t>
  </si>
  <si>
    <t>OL Rajpura</t>
  </si>
  <si>
    <t>OL Nabha</t>
  </si>
  <si>
    <t>HONDA CIVIC CAR (PETROL) 2008</t>
  </si>
  <si>
    <t xml:space="preserve">NOTE : Before lifting of Transformers (From Lot no. ), HT/LT copper winding coils of transformers shall be mutilated by the purchaser. </t>
  </si>
  <si>
    <t xml:space="preserve">C -  Three phase Copper/ Aluminium and single phase copper/ Aluminium wound Damaged Distribution Transformers As Per Actual Site Condition </t>
  </si>
  <si>
    <t>Central Store Kotkapura</t>
  </si>
  <si>
    <t>L-1</t>
  </si>
  <si>
    <t>Lot no. Q-2</t>
  </si>
  <si>
    <t>Misc. copper scrap</t>
  </si>
  <si>
    <t>OL Fazilka</t>
  </si>
  <si>
    <t>G.TOTAL</t>
  </si>
  <si>
    <t>Lot No A-2</t>
  </si>
  <si>
    <t>Lot no. Q-12</t>
  </si>
  <si>
    <t>OL store Malerkotla</t>
  </si>
  <si>
    <t>Lot no. Q-13</t>
  </si>
  <si>
    <t>Lot no. Q-14</t>
  </si>
  <si>
    <t>Lot no. E - 10</t>
  </si>
  <si>
    <t>TRY Patiala</t>
  </si>
  <si>
    <t>Lot no. I-2</t>
  </si>
  <si>
    <t>Lot No B-2</t>
  </si>
  <si>
    <t>Lot No B-3</t>
  </si>
  <si>
    <t>Lot no. G - 1</t>
  </si>
  <si>
    <t>Lot no. Q-15</t>
  </si>
  <si>
    <t>OL Malerkotla</t>
  </si>
  <si>
    <t>Lot no. G - 2</t>
  </si>
  <si>
    <t>Lot no. G - 3</t>
  </si>
  <si>
    <t>Lot no. G - 4</t>
  </si>
  <si>
    <t>Lot no. G - 5</t>
  </si>
  <si>
    <t>Lot no. G - 6</t>
  </si>
  <si>
    <t>TRY Bhagta Bhai Ka</t>
  </si>
  <si>
    <t>Lot no. Q-16</t>
  </si>
  <si>
    <t>Lot no. Q-17</t>
  </si>
  <si>
    <t>TRY Sangrur</t>
  </si>
  <si>
    <t>TRY Patran</t>
  </si>
  <si>
    <t>Lot no. G - 7</t>
  </si>
  <si>
    <t>Lot no. G - 8</t>
  </si>
  <si>
    <t>Lot no. G - 9</t>
  </si>
  <si>
    <t>Lot no. G - 10</t>
  </si>
  <si>
    <t>Lot no. Q-18</t>
  </si>
  <si>
    <t>Earthwire GSL scrap</t>
  </si>
  <si>
    <t>TRY Ropar</t>
  </si>
  <si>
    <t>Lot no. G - 11</t>
  </si>
  <si>
    <t>Outlet store Shri Muktsar sahib</t>
  </si>
  <si>
    <t>OL Shri Muktsar Sahib</t>
  </si>
  <si>
    <t>Ms Nuts &amp; Bolts</t>
  </si>
  <si>
    <t>PB-05 F-9520</t>
  </si>
  <si>
    <t>MINI TRUCK EICHER DIESEL (1999)</t>
  </si>
  <si>
    <t>DS S/D MAMDOT S/D FEROZEPUR</t>
  </si>
  <si>
    <t>L-2</t>
  </si>
  <si>
    <t>ME LAB SANGRUR (Crushed Meter Scrap/E-Waste)</t>
  </si>
  <si>
    <t>ME LAB ROPAR (Crushed Meter Scrap/E-Waste)</t>
  </si>
  <si>
    <t>L-3</t>
  </si>
  <si>
    <t>PB-03 N-5547</t>
  </si>
  <si>
    <t>AMBASSADOR CAR DIESEL (2005)</t>
  </si>
  <si>
    <t>DS DIVISION BADAL</t>
  </si>
  <si>
    <t>Lot No B-5</t>
  </si>
  <si>
    <t>Central Store Patiala</t>
  </si>
  <si>
    <t>ME LAB PATIALA (Crushed Meter Scrap/E-Waste)</t>
  </si>
  <si>
    <t>Lot No A-3</t>
  </si>
  <si>
    <t>Lot No A-5</t>
  </si>
  <si>
    <t>Lot No A-7</t>
  </si>
  <si>
    <t>TRY Malout</t>
  </si>
  <si>
    <t>Lot No B-8</t>
  </si>
  <si>
    <t>TRY Mansa</t>
  </si>
  <si>
    <t>Lot no. D-7</t>
  </si>
  <si>
    <t>ABC cable scrap (70/95 mm)</t>
  </si>
  <si>
    <t>Lot no. D-8</t>
  </si>
  <si>
    <t>Lot no. D-9</t>
  </si>
  <si>
    <t>1/core PVC Alumn. Cable scrap</t>
  </si>
  <si>
    <t>Lot no. D-10</t>
  </si>
  <si>
    <t>Lot no. D-11</t>
  </si>
  <si>
    <t>Lot no. D-12</t>
  </si>
  <si>
    <t>Lot no. E - 9</t>
  </si>
  <si>
    <t>Lot no. E - 14</t>
  </si>
  <si>
    <t>Lot no. E - 15</t>
  </si>
  <si>
    <t>Lot No A-4</t>
  </si>
  <si>
    <t>Outlet store Malerkotla</t>
  </si>
  <si>
    <t>Lot No A-6</t>
  </si>
  <si>
    <t>Outlet store Patran</t>
  </si>
  <si>
    <t>Outlet store Barnala</t>
  </si>
  <si>
    <t>Lot No A-9</t>
  </si>
  <si>
    <t>Lot No A-10</t>
  </si>
  <si>
    <t>Outlet store Ropar</t>
  </si>
  <si>
    <t>Outlet store Mansa</t>
  </si>
  <si>
    <t>Lot No B-6</t>
  </si>
  <si>
    <t>Lead seal scrap with lash wire</t>
  </si>
  <si>
    <t>Lot no. D-5</t>
  </si>
  <si>
    <t>OL Barnala</t>
  </si>
  <si>
    <t>Lot no. D-6</t>
  </si>
  <si>
    <t>Lot no. E - 18</t>
  </si>
  <si>
    <t>G.I. scrap</t>
  </si>
  <si>
    <t>Lot no. Q-23</t>
  </si>
  <si>
    <t>Lot no. Q-24</t>
  </si>
  <si>
    <t>Lot no. Q-19</t>
  </si>
  <si>
    <t>Lot no. I-3</t>
  </si>
  <si>
    <t>G.I. Scrap</t>
  </si>
  <si>
    <t>M.S. Nuts &amp; Bolts Scrap</t>
  </si>
  <si>
    <t>Lot no. E - 11</t>
  </si>
  <si>
    <t>CS Kotkapura  (.237 MT Intermingle)</t>
  </si>
  <si>
    <t>Lot No A-8</t>
  </si>
  <si>
    <t>Lot no. Q-20</t>
  </si>
  <si>
    <t>Lot No A-11</t>
  </si>
  <si>
    <t>Lot No B-4</t>
  </si>
  <si>
    <t>Lot no. I-4</t>
  </si>
  <si>
    <t>Lot no. E - 12</t>
  </si>
  <si>
    <t>Lot no. E - 13</t>
  </si>
  <si>
    <t>Central Store Sangrur</t>
  </si>
  <si>
    <t>Lot no. Q-21</t>
  </si>
  <si>
    <t>Lot no. D-14</t>
  </si>
  <si>
    <t xml:space="preserve">S.Report No. </t>
  </si>
  <si>
    <t xml:space="preserve">No of T/Fs </t>
  </si>
  <si>
    <t>Cap. in KVA</t>
  </si>
  <si>
    <t>Description</t>
  </si>
  <si>
    <t>Indicative Design Wt. of Core &amp; Winding (KG)</t>
  </si>
  <si>
    <t>Three Phase Aluminium Wound T/F</t>
  </si>
  <si>
    <t xml:space="preserve">10 KVA </t>
  </si>
  <si>
    <t>WNP =27 (unstandard tf's)</t>
  </si>
  <si>
    <t>WNP =25 (unstandard tf's)</t>
  </si>
  <si>
    <t>WNP =14 (unstandard tf's)</t>
  </si>
  <si>
    <t>TRY Moga</t>
  </si>
  <si>
    <t>Three Phase Copper Wound T/F</t>
  </si>
  <si>
    <t>6.3 KVA</t>
  </si>
  <si>
    <t>10 KVA</t>
  </si>
  <si>
    <t>WNP-25 (unstandard tf's)</t>
  </si>
  <si>
    <t>WNP-18 (unstandard tf's)</t>
  </si>
  <si>
    <t>16 KVA</t>
  </si>
  <si>
    <t>Single Phase Copper Wound T/F</t>
  </si>
  <si>
    <t>Single Phase Aluminium Wound T/F</t>
  </si>
  <si>
    <t>Outlet store Rajpura</t>
  </si>
  <si>
    <t>25 KVA</t>
  </si>
  <si>
    <r>
      <t xml:space="preserve">Following Scrap Material is Offered for On-Line Forward E-Auction at the above mentioned date as per the prevailing PSPCL's Terms &amp; Conditions of the E-Auction Sale ( available on PSPCL web site www.pspcl.in) on </t>
    </r>
    <r>
      <rPr>
        <b/>
        <sz val="12"/>
        <rFont val="Arial"/>
        <family val="2"/>
      </rPr>
      <t>"As - Is - Where - Is " basis.</t>
    </r>
  </si>
  <si>
    <t>Lot no. Q-22</t>
  </si>
  <si>
    <t>Lot no. Q-25</t>
  </si>
  <si>
    <t xml:space="preserve">6.3 KVA </t>
  </si>
  <si>
    <t xml:space="preserve">16 KVA </t>
  </si>
  <si>
    <t>WNP-1 (unstandard tf's)</t>
  </si>
  <si>
    <t>WNP-3 (unstandard tf's)</t>
  </si>
  <si>
    <t>63 KVA</t>
  </si>
  <si>
    <r>
      <t xml:space="preserve">Lot No. C 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</si>
  <si>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>Lot no. D-13</t>
  </si>
  <si>
    <t>100 KVA</t>
  </si>
  <si>
    <t xml:space="preserve"> WNP=1 (unstandard tf's)</t>
  </si>
  <si>
    <t>ABC cable scrap (150 mm)</t>
  </si>
  <si>
    <t>TRY Kotkapura</t>
  </si>
  <si>
    <t>Lot No B-7</t>
  </si>
  <si>
    <t>Lot no. Q-26</t>
  </si>
  <si>
    <t>Lot No B-9</t>
  </si>
  <si>
    <t>Lot no. D-15</t>
  </si>
  <si>
    <t>Lot no. D-16</t>
  </si>
  <si>
    <t xml:space="preserve"> </t>
  </si>
  <si>
    <t>…. CE/ TA &amp; I PSPCL PATIALA 96461-19587</t>
  </si>
  <si>
    <t>….. DS S/D MAMDOT PSPCL FEROZEPUR MOB 9646114589</t>
  </si>
  <si>
    <t>….. DS DIVISION BADAL 96461-14534</t>
  </si>
  <si>
    <t>STAR-1, STAR/TA=01,STAR/JB-1, ,JAY BEE=2,SONI=01,DURGA/JB=01, DURGA/SIC-1,NUCON=1,MUBASA/JB=01,SVASCA=01,SWASTIK/HR POWER-1, SWASTIK/JB-2,,LIBERTY/KB=01,SIC/JB=01,SARAF/ELECTRA=01,DM/PME=01,TA=01,TMR/PME=01</t>
  </si>
  <si>
    <t>WNP-27 (unstandard tf's)</t>
  </si>
  <si>
    <t>WNP-26 (unstandard tf's)</t>
  </si>
  <si>
    <t>WNP-30 (unstandard tf's)</t>
  </si>
  <si>
    <t>PTEL-1</t>
  </si>
  <si>
    <t>Outlet store Fazilka</t>
  </si>
  <si>
    <t>Lot No B-10</t>
  </si>
  <si>
    <t>Lot no. D17</t>
  </si>
  <si>
    <t>Lot no. Q-27</t>
  </si>
  <si>
    <t>Outlet store Moga</t>
  </si>
  <si>
    <t>Lot No A-12</t>
  </si>
  <si>
    <t>Lot no. D18</t>
  </si>
  <si>
    <t>OL Moga</t>
  </si>
  <si>
    <t>Lot no. Q-28</t>
  </si>
  <si>
    <t>ME LAB MOGA (Crushed Meter Scrap/E-Waste)</t>
  </si>
  <si>
    <t>ME LAB SHRI MUKTSAR SAHIB (Crushed Meter Scrap/E-Waste)</t>
  </si>
  <si>
    <t>Lot no. I-5</t>
  </si>
  <si>
    <t>Empty steel drums (cap.209 ltr.)</t>
  </si>
  <si>
    <t>50/2023</t>
  </si>
  <si>
    <t>SKYWAY-3, PP-1,JB-1, NUCON-1, ARDI-1</t>
  </si>
  <si>
    <t>51/2023</t>
  </si>
  <si>
    <t>JB-1, UP T/F-1, SICL-1, TA-1</t>
  </si>
  <si>
    <t>TA-1</t>
  </si>
  <si>
    <t>52/2023</t>
  </si>
  <si>
    <t>53/2023</t>
  </si>
  <si>
    <t>G)  Wooden scrap (without iron parts) lying as per detail given below:-</t>
  </si>
  <si>
    <t>Central Store Bathinda</t>
  </si>
  <si>
    <t>Lot no. I-6</t>
  </si>
  <si>
    <t>DAUSA - 1, PTEL - 1, SIC-1</t>
  </si>
  <si>
    <t>SARAF - 2, PP - 1</t>
  </si>
  <si>
    <t>WNP-14 (unstandard tf's)</t>
  </si>
  <si>
    <t>WNP-7 (unstandard tf's)</t>
  </si>
  <si>
    <t>WNP-5 (unstandard tf's)</t>
  </si>
  <si>
    <t>WNP-2 (unstandard tf's)</t>
  </si>
  <si>
    <t>PTEL-3, PP-3</t>
  </si>
  <si>
    <t>SICL-2</t>
  </si>
  <si>
    <t>ECO-1, SICL-1</t>
  </si>
  <si>
    <t xml:space="preserve"> WNP=25 (unstandard tf's)</t>
  </si>
  <si>
    <t xml:space="preserve"> WNP=29 (unstandard tf's)</t>
  </si>
  <si>
    <t>NUCON-2</t>
  </si>
  <si>
    <t>NUCON-1,SHIVALIK-1,PAN-2,JR-2,PUNJAB-1,ASI-1</t>
  </si>
  <si>
    <t>SARAF-1,JB-2,PTEL-1</t>
  </si>
  <si>
    <t>SHIV BHOLE/PTEL-1, IACL/TA-1, STAR/PTEL-1</t>
  </si>
  <si>
    <t>DM/TA-1, GOYMA/PTEL-1, PP-1</t>
  </si>
  <si>
    <t>Lot No A-13</t>
  </si>
  <si>
    <t>Lot No A-14</t>
  </si>
  <si>
    <t>Lot no. E - 16</t>
  </si>
  <si>
    <t>Lot No A-15</t>
  </si>
  <si>
    <t>Lot No A-16</t>
  </si>
  <si>
    <t>Central Store Malout</t>
  </si>
  <si>
    <t>Lot no. I-7</t>
  </si>
  <si>
    <t>OL Shri Mukfsar Sahib</t>
  </si>
  <si>
    <t>TRY Barnala</t>
  </si>
  <si>
    <t>ARDISON-1,SKYWAY-1,UTTAM-2</t>
  </si>
  <si>
    <t>NUCON-1,MS-1</t>
  </si>
  <si>
    <t xml:space="preserve"> WNP=19 (unstandard tf's)</t>
  </si>
  <si>
    <t>ARD-1,WNP-19 ( unstandard tf's)</t>
  </si>
  <si>
    <t>JB-1,WNP-11 (unstandard tf's)</t>
  </si>
  <si>
    <t>Alu.  seals scrap with lash wire</t>
  </si>
  <si>
    <t>Lot no. I-8</t>
  </si>
  <si>
    <t xml:space="preserve">WNP =1.(unstandard tf's)                                                                     </t>
  </si>
  <si>
    <t xml:space="preserve">WNP =8.(unstandard tf's)                                                                     </t>
  </si>
  <si>
    <t>dtpl-1,pp-2,kissan-1,saraf-1</t>
  </si>
  <si>
    <t>ptel-1</t>
  </si>
  <si>
    <t>pp-1</t>
  </si>
  <si>
    <t xml:space="preserve">mcpl-1,wnp-1.(unstandard tf's)   </t>
  </si>
  <si>
    <t xml:space="preserve">WNP =5.(unstandard tf's)                                                                     </t>
  </si>
  <si>
    <t>DTPL - 2 , MRN - 1, TA-1</t>
  </si>
  <si>
    <t>NUCON - 1</t>
  </si>
  <si>
    <t>SARAF-1, MRN - 1</t>
  </si>
  <si>
    <t xml:space="preserve">WNP =27.(unstandard tf's)                                                                     </t>
  </si>
  <si>
    <t xml:space="preserve">WNP =3.(unstandard tf's)                                                                     </t>
  </si>
  <si>
    <t>AA - LT ABC Cable scrap without insulation:-</t>
  </si>
  <si>
    <t>Lot No AA-1</t>
  </si>
  <si>
    <t>U/S Tyres</t>
  </si>
  <si>
    <t>U/S Tubes</t>
  </si>
  <si>
    <t>CS SANGRUR (U/S AC WINDOW)</t>
  </si>
  <si>
    <t>CS PATIALA  (U/S AC WINDOW)</t>
  </si>
  <si>
    <t>Quantity ( in No.)</t>
  </si>
  <si>
    <t>Tubular Poles</t>
  </si>
  <si>
    <t>Lot no. E - 17</t>
  </si>
  <si>
    <t>All Alum scrap</t>
  </si>
  <si>
    <t>Alu scrap of damaged T/F accessories</t>
  </si>
  <si>
    <t>Copper scrap</t>
  </si>
  <si>
    <t>Piller box scrap</t>
  </si>
  <si>
    <t>Iron scrap of Bush fixings</t>
  </si>
  <si>
    <t>CS PATIALA  (U/S STABLIZERS)</t>
  </si>
  <si>
    <t>WNP-23 (unstandard tf's)</t>
  </si>
  <si>
    <t>Lot No AA-2</t>
  </si>
  <si>
    <t>25 KVA (CORE &amp; TANK)</t>
  </si>
  <si>
    <t>DTPL-1</t>
  </si>
  <si>
    <t>PP-2, ARD-1,PTEL-1,SARAF-1</t>
  </si>
  <si>
    <t>WNP-19 (unstandard tf's)</t>
  </si>
  <si>
    <t>63 KVA (CORE &amp; TANK)</t>
  </si>
  <si>
    <t>SARAF-2, MRN-2, PP-2, JR-1, PTEL-1, NPC-1,SIC-1</t>
  </si>
  <si>
    <t>Tubular Poles scrap</t>
  </si>
  <si>
    <t>Lot no. Q-29</t>
  </si>
  <si>
    <t>CS Ferozepur (.015 MT Intermingle)</t>
  </si>
  <si>
    <t>Lot No A-18</t>
  </si>
  <si>
    <t>Lot no. G - 12</t>
  </si>
  <si>
    <t>OL Shri Mukatsar Sahib</t>
  </si>
  <si>
    <t>JINDAL-1, PP-3,SIC-1,JAY BEE-1,ECO POWER-1,SARAF-2,SKYWAY-1,NUCON-1</t>
  </si>
  <si>
    <t>PME-5,TA-6,PP-1,MRN-3,JAY BEE-5,SAPA-2,ELECTRA-2,JR-1</t>
  </si>
  <si>
    <t>CAPITAL-4,ELECTRA-4,JR-1,TA-4,SARAF-2,JAY BEE-2,PME-5,MARSON-2,PTEL-1</t>
  </si>
  <si>
    <t>PME-5, BHOPAL-2,SIC-1,ELECTRA-2,TA-4,JAY BEE-4,JR-2</t>
  </si>
  <si>
    <t>MRN-3,JR-4,SARAF-5,PME-5,PTEL-2,JAY BEE-4,ELECTRA-4,TA-3</t>
  </si>
  <si>
    <t xml:space="preserve">25 KVA </t>
  </si>
  <si>
    <t xml:space="preserve">63 KVA </t>
  </si>
  <si>
    <t xml:space="preserve">100 KVA </t>
  </si>
  <si>
    <t>WNP-22 (unstandard tf's)</t>
  </si>
  <si>
    <t>WNP-11 (unstandard tf's)</t>
  </si>
  <si>
    <t>PTEL 1, NUCON 3, NPC 3, SKYWAY 1, JR 2, SHRIKRISNA 1, SHIVA WELD 2, PP 2, TA 2</t>
  </si>
  <si>
    <t>SICL 2, JR 3, MAHASHKTI 1, AGARWAL 1, UTTAM 1</t>
  </si>
  <si>
    <t>JB 3, SICL 8, ARDISON 1, PTEL 1, ECO 2</t>
  </si>
  <si>
    <t>JR 1, JB 1</t>
  </si>
  <si>
    <t>SAPA 1, SHIVSHKTI 1</t>
  </si>
  <si>
    <t>JB 2, NPC 2</t>
  </si>
  <si>
    <t>UTTAM 1, SHIVSHKTI 1</t>
  </si>
  <si>
    <t>63 KVA (amorphous core)</t>
  </si>
  <si>
    <t>NUCON 2, NPC 1,</t>
  </si>
  <si>
    <t>JB 1</t>
  </si>
  <si>
    <t>NUCON 1, SICL 2, MANU 2</t>
  </si>
  <si>
    <t>Lot no. G - 13</t>
  </si>
  <si>
    <t>PP 1, JR 1, NUCON 1(unstandard tf's)</t>
  </si>
  <si>
    <t>PP 1, SHIVSHKTI 1, KISAN 1 (unstandard tf's)</t>
  </si>
  <si>
    <t>Lot no. E - 19</t>
  </si>
  <si>
    <t>G.I. Wire/GSL scrap</t>
  </si>
  <si>
    <t>Lot No B-11</t>
  </si>
  <si>
    <t>SICL-1,MAHASHAKTI-1,SKYWAY-1,NPC-1</t>
  </si>
  <si>
    <t>UTTAM-2,SICL-1,NUCON-2,SBI-1,MAHASHAKTI-1,TA-1</t>
  </si>
  <si>
    <t>JB-2</t>
  </si>
  <si>
    <t>SHIVSHAKTI-2,SICL-1</t>
  </si>
  <si>
    <t>200 KVA</t>
  </si>
  <si>
    <t>PME-1</t>
  </si>
  <si>
    <t>SE-2(unstandard tf's)</t>
  </si>
  <si>
    <t>SE-1(unstandard tf's)</t>
  </si>
  <si>
    <t>Lot no. E - 20</t>
  </si>
  <si>
    <t>Lot no. E - 21</t>
  </si>
  <si>
    <t>Lot no. G - 14</t>
  </si>
  <si>
    <t>M.S Iron scrap</t>
  </si>
  <si>
    <t>NUCON-3,MAHASHAKTI-5,MANUPOWER-1,SICL-1</t>
  </si>
  <si>
    <t>Lot no. E - 22</t>
  </si>
  <si>
    <t>Lot no. E - 23</t>
  </si>
  <si>
    <t>Lot No B-12</t>
  </si>
  <si>
    <t>Lot No B-13</t>
  </si>
  <si>
    <t>PPI-2</t>
  </si>
  <si>
    <t>PTEL-1,UBE-1,NSL-2,JB-2,NPC-1,KSM-1</t>
  </si>
  <si>
    <t>PPI-5,MRN-1,JB-1,SST-2,NPC-2,SEF-1</t>
  </si>
  <si>
    <t>AMN=2</t>
  </si>
  <si>
    <t>NSL-2</t>
  </si>
  <si>
    <t>ARD-2,SBJ-1</t>
  </si>
  <si>
    <t>SIC-1,NSL-1,UBE-1</t>
  </si>
  <si>
    <t>JR-1, JB-3, TA-1, ELECTRA-1, SIC-1, NSL-1, SEN-1</t>
  </si>
  <si>
    <t>400 KVA</t>
  </si>
  <si>
    <t>500 KVA</t>
  </si>
  <si>
    <t>58/2023</t>
  </si>
  <si>
    <t>SKYWAY=1</t>
  </si>
  <si>
    <t>59/2023</t>
  </si>
  <si>
    <t>NUCON=2</t>
  </si>
  <si>
    <t>61/2023</t>
  </si>
  <si>
    <t>SAPA=1,JR T/F=1</t>
  </si>
  <si>
    <t>NUCON=1,SICL=1</t>
  </si>
  <si>
    <t>100KVA</t>
  </si>
  <si>
    <t>MODREN T/F=1,BHOPAL=1</t>
  </si>
  <si>
    <t>60/2023</t>
  </si>
  <si>
    <t>WNP=2(unstandard tf"s))</t>
  </si>
  <si>
    <t>Lot no. G - 15</t>
  </si>
  <si>
    <t>Lot no. Q-30</t>
  </si>
  <si>
    <t>Lot No A-19</t>
  </si>
  <si>
    <t>M.S. Girder Scrap</t>
  </si>
  <si>
    <t>MS Nuts &amp; bolts scrap</t>
  </si>
  <si>
    <t>Cast Iron Scrap</t>
  </si>
  <si>
    <t>Lamination scrap</t>
  </si>
  <si>
    <t>Lot no. E - 24</t>
  </si>
  <si>
    <t>Lot no. G - 16</t>
  </si>
  <si>
    <t>OLNabha</t>
  </si>
  <si>
    <t>PTEL-1,NUCON-1</t>
  </si>
  <si>
    <t>NUCON-2,JR-3,AGGARWAL-3,MS-4,SUSHIL-2,PP-1,DAUSA-1,PUNJAB-1,DUABLE-1</t>
  </si>
  <si>
    <t xml:space="preserve">10KVA </t>
  </si>
  <si>
    <t>100 KVA (CORE &amp; TANK)</t>
  </si>
  <si>
    <t>200 KVA (CORE &amp; TANK)</t>
  </si>
  <si>
    <t>NUCON-9, JR-6, ECO-1, JB-1, AGGARWAL-2, PAN-1, MS-2, PTEL-3, SICL-2, DURA-1</t>
  </si>
  <si>
    <t>NUCON-3, JR-3, ECO-1</t>
  </si>
  <si>
    <t>STAR/TA-1, KISSAN-1, TA-1, TA/SICL-1, JB-1, LIBERTY/TA-1, HR POWER-1, STAR/MS-1, JINDAL-1</t>
  </si>
  <si>
    <t>LIBERTY/TA-1, JB/TA-1, S.KRISHNA/TA-1, SARAF/SICL-1,JM/SICL-1, DM/TA-1</t>
  </si>
  <si>
    <t>JK/TA-1, MECCA-1, JB-1, STAR/SICL-1, DM/MS-1,DM/SICL-1, DM/PP-1, JB-1</t>
  </si>
  <si>
    <t>SONI-02,JB-06,PP-01,STAR-02,PATIALA WORK SHOP-01,MUKAND-01,JK-02,SWASTIK-03,DM-01,GTB-1,LIBERTY-1,PTEL-01,NUCON-01</t>
  </si>
  <si>
    <t>WNP-16 (unstandard tf's)</t>
  </si>
  <si>
    <t>WNP-10 (unstandard tf's)</t>
  </si>
  <si>
    <t>LIBERTY -8</t>
  </si>
  <si>
    <t>KKK/2024/001</t>
  </si>
  <si>
    <t xml:space="preserve">DTPL = 1, HRP = 1, SHK = 2, NPC = 3, JR = 1, MCPL = 1,JB = 1, TA = 1                                                                                     </t>
  </si>
  <si>
    <t>KKK/2024/003</t>
  </si>
  <si>
    <t xml:space="preserve">DTPL = 1, PP = 1, JB = 1                                                                                 </t>
  </si>
  <si>
    <t>KKK/2024/005</t>
  </si>
  <si>
    <t>KKK/2024/002</t>
  </si>
  <si>
    <t xml:space="preserve">ARD = 2, SIC = 3                                                                           </t>
  </si>
  <si>
    <t>KKK/2024/004</t>
  </si>
  <si>
    <t>KKK/2024/006</t>
  </si>
  <si>
    <t xml:space="preserve">6.3  KVA                     </t>
  </si>
  <si>
    <t xml:space="preserve">SEWAK = 01 NO. (unstandard tf's)                                                                                                </t>
  </si>
  <si>
    <t xml:space="preserve">6.3 KVA                    </t>
  </si>
  <si>
    <t xml:space="preserve">WNP = 05 NO.(unstandard tf's)                                                                          </t>
  </si>
  <si>
    <t xml:space="preserve">WNP = 04 NO. (unstandard tf's)                                                                         </t>
  </si>
  <si>
    <t xml:space="preserve">10  KVA               </t>
  </si>
  <si>
    <t>DURABALE-1</t>
  </si>
  <si>
    <t>S-KRISHNA-1 PTEL-1</t>
  </si>
  <si>
    <t>JB-2,PTEL-1</t>
  </si>
  <si>
    <t>UTTAM-1 SICL-1</t>
  </si>
  <si>
    <t>NUCON-2,TA-1,SARAF-1</t>
  </si>
  <si>
    <t>6:3 KVA</t>
  </si>
  <si>
    <t>63 KVA(CORE &amp; TANK)</t>
  </si>
  <si>
    <t>25 KVA(CORE&amp; TANK)</t>
  </si>
  <si>
    <t>25 KVA(CORE &amp; TANK)</t>
  </si>
  <si>
    <t>WNP-20 (unstandard tf's)</t>
  </si>
  <si>
    <t>WNP-4 (unstandard tf's)</t>
  </si>
  <si>
    <t>DURGA-10</t>
  </si>
  <si>
    <t>DURGA-20</t>
  </si>
  <si>
    <t>DURGA-12</t>
  </si>
  <si>
    <t>Lot No B-14</t>
  </si>
  <si>
    <t>SHIV SHAKTI-1,AGGARWAL-1,JR-1,MS-3,PP-1,SARAF-1</t>
  </si>
  <si>
    <t>SARAF-2,NUCON-2,PTEL-1</t>
  </si>
  <si>
    <t>LIBERTY-4</t>
  </si>
  <si>
    <t>TA-1,MS-1,UP-1,JB-2,ELECTRA-1,SARAF-1,SAPA-4</t>
  </si>
  <si>
    <t>JB-6,PME-2,ELECTRA-2,NUCON-3</t>
  </si>
  <si>
    <t>SHRI KRISHNA-1,JB-2,SICL-1,ELECTRA-1,PME-1</t>
  </si>
  <si>
    <t>WNP-6 (unstandard tf's)</t>
  </si>
  <si>
    <t>Lot No A-21</t>
  </si>
  <si>
    <t>Lot No B-15</t>
  </si>
  <si>
    <t>Lot No B-16</t>
  </si>
  <si>
    <t>Lot No B-17</t>
  </si>
  <si>
    <t>Lot no. E - 25</t>
  </si>
  <si>
    <t>Lot No B-18</t>
  </si>
  <si>
    <t>Lot no. Q-31</t>
  </si>
  <si>
    <t>Lot no. Q-32</t>
  </si>
  <si>
    <t>Lot no. Q-33</t>
  </si>
  <si>
    <t>UTTAM-1,WNP-15 (unstandard tf's)</t>
  </si>
  <si>
    <t>SEN-4,JB-2,ECE-1,ELECTRA-3,TA-1</t>
  </si>
  <si>
    <t>NSL-1,SIC-2,SEN-1,ELECTRA-1,PME-1</t>
  </si>
  <si>
    <t>Lot no. Q-34</t>
  </si>
  <si>
    <t>Lot No B-19</t>
  </si>
  <si>
    <t>Lot No B-20</t>
  </si>
  <si>
    <t xml:space="preserve">CS Kotkapura </t>
  </si>
  <si>
    <t>Lot no. Q-9</t>
  </si>
  <si>
    <t>SICL-1</t>
  </si>
  <si>
    <t>HI TECH-1</t>
  </si>
  <si>
    <t>JR-1</t>
  </si>
  <si>
    <t>PP-1 (unstandard tf's)</t>
  </si>
  <si>
    <t>PTEL-3,  DTPL-1, NUCON-1, SICL-3, HRP-1, PPI-4, MCPL-1</t>
  </si>
  <si>
    <t>HITECH-3,JB-18,EPS-6,SONI-1,JINDAL-1,SHIVALIK-1</t>
  </si>
  <si>
    <t>JB-15,EPS-9,HITECH-5,JINDAL-1</t>
  </si>
  <si>
    <t>JB-22,HITECH-2,EPS-5,JINDAL-1</t>
  </si>
  <si>
    <t>JB-17,HITECH-4,EPS-8,JR-1</t>
  </si>
  <si>
    <t>JB-16,MP-2,JINDAL-1,EPS-10,HITECH-1</t>
  </si>
  <si>
    <t>JB-18,ARD-8,SHIVA-3,EPS-1</t>
  </si>
  <si>
    <t>JB-10,ARD-12,DURABLE-1,SHIVA-2,EPS-5</t>
  </si>
  <si>
    <t>SHIVA-5,JB-10,EPS-6,ARD-7,HITECH-1,JINDAL-1</t>
  </si>
  <si>
    <t>EPS-11,JB-10,ARD-6,SHIVA-2,HITECH-1</t>
  </si>
  <si>
    <t>EPS-2,JB-14,ARD-10,SHIVA-4</t>
  </si>
  <si>
    <t>JB-13,ARD-13,EPS-4</t>
  </si>
  <si>
    <t>EPS-10,JB-11,ARD-6,SHIVA-2,JR-1</t>
  </si>
  <si>
    <t>JB-18,EPS-7,HITECH-4,NBGL-1</t>
  </si>
  <si>
    <t>EPS-11,NBGL-1,HITECH-3,JB-14,JINDAL-1</t>
  </si>
  <si>
    <t>EPS-8,JB-17,HITECH-3,JINDAL-1,ARD-1</t>
  </si>
  <si>
    <t>JB-15,EPS-9,HITECH-3,MP-1,SHIVALIK-1,NBGL-1</t>
  </si>
  <si>
    <t>JB-13,JINDAL-1,EPS-3,HITECH-2,SICL-1</t>
  </si>
  <si>
    <t>JB-10,EPS-8,NBGL-1,ARD-9,SHIVA-2</t>
  </si>
  <si>
    <t>JB-17,EPS-5,ARD-6,SHIVA-1,JINDAL-1</t>
  </si>
  <si>
    <t>JB-17,ARD-6,SHIVA-2,EPS-4,NBGL-1</t>
  </si>
  <si>
    <t>EPS-7,JB-17,ARD-4,SHIVA-2</t>
  </si>
  <si>
    <t>SHIVA-6,JB-16,ARD-6,EPS-2</t>
  </si>
  <si>
    <t>JB-15,EPS-7,NBGL-2,ARD-6</t>
  </si>
  <si>
    <t>EPS-9,SHIVA-2,JB-14,ARD-3</t>
  </si>
  <si>
    <t>CS PATIALA  (U/S AC SPLIT)</t>
  </si>
  <si>
    <t>U/S Typewriters</t>
  </si>
  <si>
    <t>Lot no. E - 26</t>
  </si>
  <si>
    <t>S &amp; T Store Bathinda (1.367 MT Intermingle)</t>
  </si>
  <si>
    <t>Lot no. Q-35</t>
  </si>
  <si>
    <t>U/S Ceiling Fans</t>
  </si>
  <si>
    <t>JB-1,SICL-2,ECO-1,PP-3,MS-2,SKYWAY-1</t>
  </si>
  <si>
    <t>MS-3,PAN-1</t>
  </si>
  <si>
    <t>NUCON-1,AGGARWAL-1</t>
  </si>
  <si>
    <t>WNP-8 (unstandard tf's)</t>
  </si>
  <si>
    <t>JINDAL-2,ECO-3,PVJ-2,JB-3,SHIVA-1,NB-2,SHIVALIK-1,JR-1</t>
  </si>
  <si>
    <t>SIC= 01,STAR=01,JR=05,DURABLE=01,PP=01</t>
  </si>
  <si>
    <t>PP=06,NUCON=01,JR=01,JAY BEE=01,DURABLE=02,TA=01</t>
  </si>
  <si>
    <t>NV=01,IACL-01,UTTAM=01,PTEL=02,TA=05,SIC=01,STAR=02,SWASTIK=01,JB=04,LIBERTY=02,ELECTRA=2,SONI=01,SAPA=04,PME=3,SARAF=01</t>
  </si>
  <si>
    <t>ECO-1 JB-1</t>
  </si>
  <si>
    <t>Lot No A-17</t>
  </si>
  <si>
    <t>Lot no. Q-36</t>
  </si>
  <si>
    <t>PP-1</t>
  </si>
  <si>
    <t>UTTAM-1</t>
  </si>
  <si>
    <t>SICL-1,SE-1,PTEL-1</t>
  </si>
  <si>
    <t>ARD-1</t>
  </si>
  <si>
    <t>ELECTRA-1,JB-1,PME-1,NUCON-1,SICL-1</t>
  </si>
  <si>
    <t>MARSON-1</t>
  </si>
  <si>
    <t>DURABLE-1</t>
  </si>
  <si>
    <t>200 KVA(CORE &amp; TANK)</t>
  </si>
  <si>
    <t>SE-1,JB-1(unstandard tf's)</t>
  </si>
  <si>
    <t>DURABLE-1(unstandard tf's)</t>
  </si>
  <si>
    <t>Lot no. E - 27</t>
  </si>
  <si>
    <t>Lot No B-21</t>
  </si>
  <si>
    <t>Outlet store Nabha</t>
  </si>
  <si>
    <t>OLRajpura</t>
  </si>
  <si>
    <t>CS Bathinda (.135 MT intermingle)</t>
  </si>
  <si>
    <t>Lot no. E - 28</t>
  </si>
  <si>
    <t>CS KOTKAPURA (U/S AC WINDOW)</t>
  </si>
  <si>
    <t>Lot no. G - 17</t>
  </si>
  <si>
    <r>
      <t xml:space="preserve">Lot No. C 21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MANSA</t>
    </r>
  </si>
  <si>
    <r>
      <t xml:space="preserve">Lot No. C 23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</si>
  <si>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t>MS-3,DTPL-2,SARAF-3,NUCON-4,PPI-2,HR-1,JB-5             PTEL-1</t>
  </si>
  <si>
    <t>TA-1,JB-5,ECE-1,ELECTRA-1,PME-1,SAPA-3,PTEL-1 SIC-1, CAPITAL-1</t>
  </si>
  <si>
    <t>JR-1,JB-1,MARSON-1,NUCON-2</t>
  </si>
  <si>
    <t>ECO-1,JB-1</t>
  </si>
  <si>
    <t>WNP-21 (unstandard tf's)</t>
  </si>
  <si>
    <t>UTTAM-1(unstandard tf's)</t>
  </si>
  <si>
    <t>01/2024.</t>
  </si>
  <si>
    <t>UTTAM-1, JR-1</t>
  </si>
  <si>
    <t>02/2024.</t>
  </si>
  <si>
    <t>SKYWAY-1, NPC-1</t>
  </si>
  <si>
    <t>04/2024.</t>
  </si>
  <si>
    <t>TA-1, PME-1</t>
  </si>
  <si>
    <t>SHIV SHAKTI-1, TA-1</t>
  </si>
  <si>
    <t>03/2024.</t>
  </si>
  <si>
    <t>PP-1, SHIVALIK-2</t>
  </si>
  <si>
    <t>PTEL-1, SICL-3, MS-2, PP-1, UTTAM-1, NUCON-4, SARAF-2, SHIVALIK-4, SHIV SAKTI-1, SKY WAY-1</t>
  </si>
  <si>
    <t>JB-1, ELECTORA-1</t>
  </si>
  <si>
    <t>PTEL-1, BGL-1,JB-1</t>
  </si>
  <si>
    <t>JB-1 PTEL-1</t>
  </si>
  <si>
    <t>WNP-15  (unstandard tf's)</t>
  </si>
  <si>
    <t>WNP-3  (unstandard tf's)</t>
  </si>
  <si>
    <t>ptel-3,nbg-1,ta-1,uttam-1,sicl-1,ppi-1,saraf-1,dtpl-1,jb-1</t>
  </si>
  <si>
    <t>npc-1</t>
  </si>
  <si>
    <t>jb-3,nucon-2,ptel-5,uttam-2,sapa-2,sicl-4,ta-2,saraf-2,westen-1,alfa-1-s/shakti-1</t>
  </si>
  <si>
    <t>443/1</t>
  </si>
  <si>
    <t>nucon-2,alfa-1,saraf-2,ta-3,ptel-5,pp-3,sicl-5,mcpl-3,npc-1</t>
  </si>
  <si>
    <t>443/2</t>
  </si>
  <si>
    <t>sicl-1,mcpl-2,sapa-6,pp-3,ta-5,jindal-1,npc-1,marson-1,saraf-3,s/shakti-1,jb-1</t>
  </si>
  <si>
    <t>JR 1, NUCON 2, NPC 3</t>
  </si>
  <si>
    <t>UTTAM 2, PP 2, SKYWAY 1, ECO 1,</t>
  </si>
  <si>
    <t>DURABLE 1</t>
  </si>
  <si>
    <t>JB 2, SICL 2, ARDISON 1,</t>
  </si>
  <si>
    <t>NUCON 1, SICL 1,</t>
  </si>
  <si>
    <t>63 KVA (BODY &amp; CORE)</t>
  </si>
  <si>
    <t>UTTAM 2, MANU 1, SICL 1</t>
  </si>
  <si>
    <t>JR 1(unstandard tf's)</t>
  </si>
  <si>
    <t>AGARWAL 2 (unstandard tf's)</t>
  </si>
  <si>
    <t>ARDISON 7, JB 8, ECO 4, SICL 1, NUCON 1, NBGL 1, JBK 1, MAHASHAKTI 1, SARAF 2, HR POWER 1, HITECH 2, PTEL 1, JINDAL 1</t>
  </si>
  <si>
    <t>SKYWAY - 1</t>
  </si>
  <si>
    <t>PP-2,SARAF-2,MRN-2,UTTAM-1,NPC-1,BGL-1,DTPL-1, SKYWAY - 1</t>
  </si>
  <si>
    <t>MRN-2, TA-1, SARAF-2, PME-1, PP-2, PTEL-1, SIC-1</t>
  </si>
  <si>
    <t>MS=01,PP=01,PTL=01</t>
  </si>
  <si>
    <t>DURABLE=01</t>
  </si>
  <si>
    <t>JR= 01,NV=01,NPC=01,JAY BEE=01</t>
  </si>
  <si>
    <t>LIBERTY=02,JAY BEE=01,SONI=02,SWASTIK=02,JK=01,BANSAL=01</t>
  </si>
  <si>
    <t>KKK/2024/010</t>
  </si>
  <si>
    <t xml:space="preserve">SHK = 2, SEF = 2, NSL = 1, JR = 1, WNP = 1, TA = 2, UBE = 1, PP = 1, DTPL = 2, HRP = 1                                                                           </t>
  </si>
  <si>
    <t>KKK/2024/011</t>
  </si>
  <si>
    <t xml:space="preserve">SSK = 1                                                                                                        </t>
  </si>
  <si>
    <t>KKK/2024/012</t>
  </si>
  <si>
    <t xml:space="preserve">MRN = 1, SIC = 1, ASI = 2, JB = 1                                                                                                                                                 </t>
  </si>
  <si>
    <t>KKK/2024/009</t>
  </si>
  <si>
    <t xml:space="preserve">ARD = 1, JB = 2                                                                     </t>
  </si>
  <si>
    <t>KKK/2024/013</t>
  </si>
  <si>
    <t xml:space="preserve">SIC = 1                                                                                                         </t>
  </si>
  <si>
    <t>KKK/2024/014</t>
  </si>
  <si>
    <t xml:space="preserve">SIC = 4, DTPL = 1, JB = 1, NPC = 2, PP = 1, TA = 1, SEF = 1 </t>
  </si>
  <si>
    <t>KKK/2024/007</t>
  </si>
  <si>
    <t xml:space="preserve">WNP = 08 NO.  (unstandard tf's)                                                                     </t>
  </si>
  <si>
    <t>KKK/2024/008</t>
  </si>
  <si>
    <t>25 KVA (BODY &amp; CORE)</t>
  </si>
  <si>
    <t xml:space="preserve">10 KVA                    </t>
  </si>
  <si>
    <t>1/2024.</t>
  </si>
  <si>
    <t>2/2024.</t>
  </si>
  <si>
    <t>4/2024.</t>
  </si>
  <si>
    <t>3/2024.</t>
  </si>
  <si>
    <t>6/2024.</t>
  </si>
  <si>
    <t>9/2024.</t>
  </si>
  <si>
    <t>7/2024.</t>
  </si>
  <si>
    <t>8/2024.</t>
  </si>
  <si>
    <t>5/2024.</t>
  </si>
  <si>
    <t>DURABLE=4,GTB=1,JR=11,NBGL=1,NUCON=1,NV=1,SARAF=1,TA=1,UTTAM=1</t>
  </si>
  <si>
    <t>ARD=1,DURABLE=1,GTB=1,HRP=1,JM=1,JR=2,MS=4,NUCON=4,PP=2,PTEL=1,SARAF=1,SHIVA=1,SICL=4,UTTAM=1</t>
  </si>
  <si>
    <t>AGGARWAL=1,AMSON=1,HRP=3,JB=2,JR=4,MS=3,NUCON=2,PP=3,PTEL=1,SARAF-1,SHIVA=1,SICL=1,TA=2</t>
  </si>
  <si>
    <t>AGGARWAL=1,DURABLE=1,HRP=1,JB=1,JM=2,JR=3,MS=2,NA=1,NUCON=2,PP=3,PTEL=2,SARAF-3,SICL=1,TA=2</t>
  </si>
  <si>
    <t>AGGARWAL=2,HRP=5,JB=3,JM=1,JR=2,MS=2,NUCON=4,NV=1,PP=1,SARAF=1,SHIVA=1,TA=2</t>
  </si>
  <si>
    <t>ARD=1,ECO=3,GTB=1,JB=4,JINDAL=2,JK=1,JM=1,JR=9,NUCON=4,STAR=1</t>
  </si>
  <si>
    <t>SWASTIK=1,JB/NV=1,SARAF=1,FM=1,SONI=2,JR=1,PTEL=1,JK=1</t>
  </si>
  <si>
    <t>SK=1,MS=1,JR/JK=1</t>
  </si>
  <si>
    <t>MANU=2,NUCON=15,SICL=9,UTTAM=3,  VIJAY=1</t>
  </si>
  <si>
    <t>MANU=3,NUCON=7,SICL=1,UTTAM=7,VIJAY=5</t>
  </si>
  <si>
    <t>DM=2,SICL=2,NUCON=1,MS=2,JR=1,STAR=1,KARTAR=1,JB=1</t>
  </si>
  <si>
    <t>AMSON=1,HRP=1,JB=2,JM=2,JR=1,MS=6,NUCON=1,PTEL=3,SARAF=1,SICL=2,SUSHIL=1,TA=3, PP-1</t>
  </si>
  <si>
    <t>GSS wire scrap</t>
  </si>
  <si>
    <t>KKK/2024/015</t>
  </si>
  <si>
    <t xml:space="preserve">DTPL = 3, ARD = 1, PP = 2, PAN = 1, NPC = 1, ASI = 1, HRP = 1, PTEL = 1, MCPL = 2                                                                       </t>
  </si>
  <si>
    <t>KKK/2024/017</t>
  </si>
  <si>
    <t xml:space="preserve">NSL = 1                                                                                                </t>
  </si>
  <si>
    <t>KKK/2024/019</t>
  </si>
  <si>
    <t xml:space="preserve">JB = 3, SIC = 1                                                                       </t>
  </si>
  <si>
    <t>KKK/2024/018</t>
  </si>
  <si>
    <t xml:space="preserve">25 KVA (BODY &amp; CORE)           </t>
  </si>
  <si>
    <t xml:space="preserve">SIC = 4, JR = 5, TA = 1, NPC = 2, GTB = 1, EPS = 1,  MRN = 1, PTEL = 2, SEF = 1, WNP = 1, DANISH = 1                   </t>
  </si>
  <si>
    <t>KKK/2024/021</t>
  </si>
  <si>
    <t xml:space="preserve">63 KVA           </t>
  </si>
  <si>
    <t xml:space="preserve">NPC = 1, SEF = 1, EPS = 1, MCPL = 1                                              </t>
  </si>
  <si>
    <t>KKK/2024/022</t>
  </si>
  <si>
    <t xml:space="preserve">100 KVA           </t>
  </si>
  <si>
    <t xml:space="preserve">NPC = 2, SIC = 1                                                                   </t>
  </si>
  <si>
    <t>KKK/2024/023</t>
  </si>
  <si>
    <t xml:space="preserve">EMCO = 1                                                                                       </t>
  </si>
  <si>
    <t>KKK/2024/016</t>
  </si>
  <si>
    <t xml:space="preserve">WNP = 04 NO.  (unstandard tf's)                                                                     </t>
  </si>
  <si>
    <t>KKK/2024/020</t>
  </si>
  <si>
    <t xml:space="preserve">6.3 KVA                  </t>
  </si>
  <si>
    <t xml:space="preserve">10  KVA                    </t>
  </si>
  <si>
    <t xml:space="preserve">JR BARNALA -14 </t>
  </si>
  <si>
    <t>MS-2,JR-3,UTTAM-2</t>
  </si>
  <si>
    <t xml:space="preserve">LIBERTY- 22 </t>
  </si>
  <si>
    <t>Lot no. I-9</t>
  </si>
  <si>
    <t>c</t>
  </si>
  <si>
    <t>Lot no. D-19</t>
  </si>
  <si>
    <r>
      <t xml:space="preserve">Lot No. C 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</si>
  <si>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</si>
  <si>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</si>
  <si>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 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SANGRUR</t>
    </r>
  </si>
  <si>
    <r>
      <t xml:space="preserve">Lot No. C 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</si>
  <si>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</si>
  <si>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</si>
  <si>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</si>
  <si>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r>
      <t xml:space="preserve">Lot No. C 10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</si>
  <si>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r>
      <t xml:space="preserve">Lot No. C 11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</si>
  <si>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r>
      <t xml:space="preserve">Lot No. C 12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MOHALI</t>
    </r>
  </si>
  <si>
    <r>
      <t xml:space="preserve">Lot No. C 13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</si>
  <si>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r>
      <t xml:space="preserve">Lot No. C 14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</si>
  <si>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C15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</si>
  <si>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16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</si>
  <si>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r>
      <t xml:space="preserve">Lot No. C 17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MOGA</t>
    </r>
  </si>
  <si>
    <r>
      <t xml:space="preserve">Lot No. C 18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MANSA</t>
    </r>
  </si>
  <si>
    <r>
      <t xml:space="preserve">Lot No. C 19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</si>
  <si>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20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</si>
  <si>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 22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</si>
  <si>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24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SANGRUR</t>
    </r>
  </si>
  <si>
    <r>
      <t xml:space="preserve">Lot No. C 25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</si>
  <si>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26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</si>
  <si>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27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</si>
  <si>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r>
      <t xml:space="preserve">Lot No. C 28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</si>
  <si>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29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</si>
  <si>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30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</si>
  <si>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r>
      <t xml:space="preserve">Lot No. C 31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MALOUT</t>
    </r>
  </si>
  <si>
    <r>
      <t xml:space="preserve">Lot No. C 32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MALOUT</t>
    </r>
  </si>
  <si>
    <r>
      <t xml:space="preserve">Lot No. C 33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</si>
  <si>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r>
      <t xml:space="preserve">Lot No. C 34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</si>
  <si>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35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</si>
  <si>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t>Lot no. G - 18</t>
  </si>
  <si>
    <t>new</t>
  </si>
  <si>
    <t>Lot No B-22</t>
  </si>
  <si>
    <t>NPC-2,SBI-1,SHRI KRISHNA-1,SHIVALIK-1,SICL-2</t>
  </si>
  <si>
    <t>UTTAM-2,SICL-1,PTEL-1,JR-1</t>
  </si>
  <si>
    <t>JB-1</t>
  </si>
  <si>
    <t>NUCON-1,NBGL-1</t>
  </si>
  <si>
    <r>
      <t xml:space="preserve">Lot No. C 36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</si>
  <si>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t>EA-76 /PTA-2023-24</t>
  </si>
  <si>
    <t>12.03.2024</t>
  </si>
  <si>
    <t xml:space="preserve"> N Lot :-E-waste</t>
  </si>
  <si>
    <t>Lot No. N-1</t>
  </si>
  <si>
    <t>Lot No. N-2</t>
  </si>
  <si>
    <t>Lot No. N-3</t>
  </si>
  <si>
    <t>Lot No. N-4</t>
  </si>
  <si>
    <t>Lot No. N-5</t>
  </si>
  <si>
    <r>
      <rPr>
        <b/>
        <u val="single"/>
        <sz val="14"/>
        <color indexed="8"/>
        <rFont val="Calibri"/>
        <family val="2"/>
      </rPr>
      <t>(N Lot) E-Waste Material lying in Central Store Patiala,Central Store Sangrur as per detail given below :-</t>
    </r>
    <r>
      <rPr>
        <b/>
        <sz val="14"/>
        <color indexed="8"/>
        <rFont val="Calibri"/>
        <family val="2"/>
      </rPr>
      <t xml:space="preserve">                                                                                                   </t>
    </r>
    <r>
      <rPr>
        <b/>
        <u val="single"/>
        <sz val="16"/>
        <color indexed="8"/>
        <rFont val="Calibri"/>
        <family val="2"/>
      </rPr>
      <t>Note:-</t>
    </r>
    <r>
      <rPr>
        <b/>
        <sz val="14"/>
        <color indexed="8"/>
        <rFont val="Calibri"/>
        <family val="2"/>
      </rPr>
      <t xml:space="preserve"> Bidders holding valid authorisation under E-waste (Management) Rules, 2016 as amended in 2018 for dismantling, recycling and refurbishing of E-waste are allowed to participate in E-auction of E-waste. Bid initiated by any other bidder for purchase of E-waste material without holding above mentioned authorisation will not be considered. </t>
    </r>
  </si>
  <si>
    <t>Lot No. N-6</t>
  </si>
  <si>
    <t>Lot No. N-7</t>
  </si>
  <si>
    <t>Lot No. N-8</t>
  </si>
  <si>
    <t>Lot No. N-9</t>
  </si>
  <si>
    <t>Lot No. N-10</t>
  </si>
  <si>
    <t>SARAF-2, PP-1, MS-3, JB-1, NUCON-1</t>
  </si>
  <si>
    <t>JALANDHAR-1, PP-2, TA-1, UTTAM-1, PUNJAB-1, HR-1, ECO-1, SARAF-2</t>
  </si>
  <si>
    <r>
      <t xml:space="preserve">Lot No. C 37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MANSA</t>
    </r>
  </si>
  <si>
    <t>NUCON-1(unstandard tf's)</t>
  </si>
  <si>
    <t>05/2024.</t>
  </si>
  <si>
    <t>SARAF-1</t>
  </si>
  <si>
    <t>06/2024.</t>
  </si>
  <si>
    <t>NUCON-2, JAYBEE-1</t>
  </si>
  <si>
    <t>07/2024.</t>
  </si>
  <si>
    <t>08/2024.</t>
  </si>
  <si>
    <t>09/2024.</t>
  </si>
  <si>
    <t>BHOPAL-1</t>
  </si>
  <si>
    <r>
      <t xml:space="preserve">Lot No. C 38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</si>
  <si>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t>010/24</t>
  </si>
  <si>
    <t>NPC 2, NUCON 1, TA 1, SICL 1, PTEL 1</t>
  </si>
  <si>
    <t>011/24</t>
  </si>
  <si>
    <t>AGARWAL 1, JM 1, JB 1, UBE 2, PP 1, JR 1, PTEL 1</t>
  </si>
  <si>
    <t>014/24</t>
  </si>
  <si>
    <t>JR 1</t>
  </si>
  <si>
    <t>013/24</t>
  </si>
  <si>
    <t>ECO 1, SICL 1, PTEL 1, JBK 1</t>
  </si>
  <si>
    <t>012/24</t>
  </si>
  <si>
    <t>016/24</t>
  </si>
  <si>
    <t>NUCON 2, SSE 1, JR 1</t>
  </si>
  <si>
    <t>017/24</t>
  </si>
  <si>
    <t>018/24</t>
  </si>
  <si>
    <t>019/24</t>
  </si>
  <si>
    <t>020/24</t>
  </si>
  <si>
    <t>10 KVA (amorphous core)</t>
  </si>
  <si>
    <t>015/24</t>
  </si>
  <si>
    <t>UBE 1, NUCON 2, MANU POWER 1</t>
  </si>
  <si>
    <t>PP 1 (unstandard tf's)</t>
  </si>
  <si>
    <t>SR POWER 1 (unstandard tf's)</t>
  </si>
  <si>
    <r>
      <t xml:space="preserve">Lot No. C 39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</si>
  <si>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t>Lot No A-20</t>
  </si>
  <si>
    <t>ABC Cable scrap without messenger wire 150 mm</t>
  </si>
  <si>
    <t>.133 e im</t>
  </si>
  <si>
    <t>CS Malout (.201 MT Intermingle)</t>
  </si>
  <si>
    <t>G.I. Pipe scrap</t>
  </si>
  <si>
    <t>.18eim</t>
  </si>
  <si>
    <t>Outlet store Bhagta Bhai Ka (.305 MT Intermingle)</t>
  </si>
  <si>
    <t>Lot no. E - 29</t>
  </si>
  <si>
    <t xml:space="preserve">CS Mohali </t>
  </si>
  <si>
    <t>JB- 1</t>
  </si>
  <si>
    <t>CS Patiala (.017 MT Intermingle)</t>
  </si>
  <si>
    <t>Lot no. G - 19</t>
  </si>
  <si>
    <t>ME LAB SANGRUR (Electronic Meter Scrap/E-Waste)</t>
  </si>
  <si>
    <t>ME LAB ROPAR Electronic Meter Scrap/E-Waste)</t>
  </si>
  <si>
    <t>Lot No. N-11</t>
  </si>
  <si>
    <t>Lot No. N-12</t>
  </si>
  <si>
    <r>
      <t xml:space="preserve">Lot No. C 40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</si>
  <si>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 xml:space="preserve">NOTE : Before lifting of Transformers (From Lot no. C-1 to C-40), HT/LT copper winding coils of transformers shall be mutilated by the purchaser. </t>
  </si>
  <si>
    <t>Lot no. E - 30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</si>
</sst>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"/>
    <numFmt numFmtId="183" formatCode="0.0"/>
    <numFmt numFmtId="184" formatCode="0.000"/>
    <numFmt numFmtId="185" formatCode="0.0000"/>
    <numFmt numFmtId="186" formatCode="0.00000"/>
    <numFmt numFmtId="187" formatCode="[$-409]dddd\,\ mmmm\ dd\,\ yyyy"/>
    <numFmt numFmtId="188" formatCode="[$-409]h:mm:ss\ AM/PM"/>
    <numFmt numFmtId="189" formatCode="[$-4009]dd\ mmmm\ yyyy"/>
    <numFmt numFmtId="190" formatCode="[$-F800]dddd\,\ mmmm\ dd\,\ yyyy"/>
    <numFmt numFmtId="191" formatCode="dd\-mm\-yyyy"/>
    <numFmt numFmtId="192" formatCode="#,##0.000"/>
  </numFmts>
  <fonts count="9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omic Sans MS"/>
      <family val="4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u val="single"/>
      <sz val="10"/>
      <color indexed="36"/>
      <name val="Arial"/>
      <family val="2"/>
    </font>
    <font>
      <b/>
      <sz val="9"/>
      <color indexed="36"/>
      <name val="Arial"/>
      <family val="2"/>
    </font>
    <font>
      <b/>
      <u val="single"/>
      <sz val="11"/>
      <color indexed="36"/>
      <name val="Arial"/>
      <family val="2"/>
    </font>
    <font>
      <b/>
      <u val="single"/>
      <sz val="12"/>
      <color indexed="36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36"/>
      <name val="Arial"/>
      <family val="2"/>
    </font>
    <font>
      <b/>
      <sz val="11"/>
      <name val="Calibri"/>
      <family val="2"/>
    </font>
    <font>
      <b/>
      <sz val="11"/>
      <color indexed="10"/>
      <name val="Times New Roman"/>
      <family val="1"/>
    </font>
    <font>
      <b/>
      <u val="single"/>
      <sz val="10"/>
      <color indexed="17"/>
      <name val="Arial"/>
      <family val="2"/>
    </font>
    <font>
      <b/>
      <u val="single"/>
      <sz val="11"/>
      <color indexed="10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rgb="FF7030A0"/>
      <name val="Arial"/>
      <family val="2"/>
    </font>
    <font>
      <b/>
      <sz val="9"/>
      <color rgb="FF7030A0"/>
      <name val="Arial"/>
      <family val="2"/>
    </font>
    <font>
      <b/>
      <u val="single"/>
      <sz val="11"/>
      <color rgb="FF7030A0"/>
      <name val="Arial"/>
      <family val="2"/>
    </font>
    <font>
      <b/>
      <sz val="11"/>
      <color rgb="FFFF0000"/>
      <name val="Arial"/>
      <family val="2"/>
    </font>
    <font>
      <b/>
      <u val="single"/>
      <sz val="12"/>
      <color rgb="FF7030A0"/>
      <name val="Arial"/>
      <family val="2"/>
    </font>
    <font>
      <sz val="11"/>
      <color theme="1"/>
      <name val="Times New Roman"/>
      <family val="1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rgb="FF00B050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rgb="FF7030A0"/>
      <name val="Arial"/>
      <family val="2"/>
    </font>
    <font>
      <b/>
      <sz val="11"/>
      <color rgb="FFFF0000"/>
      <name val="Times New Roman"/>
      <family val="1"/>
    </font>
    <font>
      <b/>
      <u val="single"/>
      <sz val="10"/>
      <color rgb="FF00B050"/>
      <name val="Arial"/>
      <family val="2"/>
    </font>
    <font>
      <b/>
      <u val="single"/>
      <sz val="11"/>
      <color rgb="FFFF0000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29" borderId="1" applyNumberFormat="0" applyAlignment="0" applyProtection="0"/>
    <xf numFmtId="0" fontId="65" fillId="0" borderId="6" applyNumberFormat="0" applyFill="0" applyAlignment="0" applyProtection="0"/>
    <xf numFmtId="0" fontId="66" fillId="30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7" fillId="26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71" fillId="0" borderId="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center" wrapText="1"/>
    </xf>
    <xf numFmtId="0" fontId="72" fillId="0" borderId="14" xfId="0" applyFont="1" applyFill="1" applyBorder="1" applyAlignment="1">
      <alignment vertical="center"/>
    </xf>
    <xf numFmtId="184" fontId="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vertical="center"/>
    </xf>
    <xf numFmtId="0" fontId="72" fillId="0" borderId="16" xfId="0" applyFont="1" applyFill="1" applyBorder="1" applyAlignment="1">
      <alignment vertical="center"/>
    </xf>
    <xf numFmtId="0" fontId="73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left" vertical="center" wrapText="1"/>
    </xf>
    <xf numFmtId="0" fontId="74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center" vertical="top"/>
    </xf>
    <xf numFmtId="0" fontId="78" fillId="0" borderId="0" xfId="0" applyFont="1" applyAlignment="1">
      <alignment horizontal="center" vertical="top"/>
    </xf>
    <xf numFmtId="0" fontId="78" fillId="0" borderId="0" xfId="0" applyFont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 vertical="top"/>
    </xf>
    <xf numFmtId="1" fontId="79" fillId="0" borderId="0" xfId="0" applyNumberFormat="1" applyFont="1" applyBorder="1" applyAlignment="1">
      <alignment horizontal="center"/>
    </xf>
    <xf numFmtId="0" fontId="80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0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184" fontId="75" fillId="0" borderId="1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184" fontId="9" fillId="0" borderId="13" xfId="0" applyNumberFormat="1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 vertical="center" wrapText="1"/>
    </xf>
    <xf numFmtId="184" fontId="80" fillId="0" borderId="13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4" fontId="75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84" fontId="75" fillId="0" borderId="15" xfId="0" applyNumberFormat="1" applyFont="1" applyFill="1" applyBorder="1" applyAlignment="1">
      <alignment horizontal="center" vertical="center" wrapText="1"/>
    </xf>
    <xf numFmtId="184" fontId="9" fillId="0" borderId="16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84" fontId="75" fillId="0" borderId="0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75" fillId="0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 wrapText="1"/>
    </xf>
    <xf numFmtId="184" fontId="75" fillId="0" borderId="13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top" wrapText="1"/>
    </xf>
    <xf numFmtId="184" fontId="9" fillId="0" borderId="15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/>
    </xf>
    <xf numFmtId="0" fontId="78" fillId="0" borderId="13" xfId="0" applyFont="1" applyFill="1" applyBorder="1" applyAlignment="1">
      <alignment horizontal="center" vertical="center" wrapText="1"/>
    </xf>
    <xf numFmtId="184" fontId="9" fillId="0" borderId="13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wrapText="1"/>
    </xf>
    <xf numFmtId="184" fontId="9" fillId="0" borderId="21" xfId="0" applyNumberFormat="1" applyFont="1" applyFill="1" applyBorder="1" applyAlignment="1">
      <alignment horizontal="center" vertical="center" wrapText="1"/>
    </xf>
    <xf numFmtId="0" fontId="80" fillId="0" borderId="21" xfId="0" applyFont="1" applyFill="1" applyBorder="1" applyAlignment="1">
      <alignment horizontal="center"/>
    </xf>
    <xf numFmtId="184" fontId="80" fillId="0" borderId="21" xfId="0" applyNumberFormat="1" applyFont="1" applyFill="1" applyBorder="1" applyAlignment="1">
      <alignment horizontal="center"/>
    </xf>
    <xf numFmtId="0" fontId="80" fillId="0" borderId="16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81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76" fillId="0" borderId="16" xfId="0" applyFont="1" applyFill="1" applyBorder="1" applyAlignment="1">
      <alignment vertical="center"/>
    </xf>
    <xf numFmtId="0" fontId="76" fillId="0" borderId="14" xfId="0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/>
    </xf>
    <xf numFmtId="0" fontId="83" fillId="0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/>
    </xf>
    <xf numFmtId="17" fontId="9" fillId="0" borderId="13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 horizontal="left" vertical="top" wrapText="1"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/>
      <protection/>
    </xf>
    <xf numFmtId="0" fontId="9" fillId="32" borderId="13" xfId="57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/>
    </xf>
    <xf numFmtId="0" fontId="9" fillId="0" borderId="13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 wrapText="1"/>
      <protection/>
    </xf>
    <xf numFmtId="184" fontId="75" fillId="0" borderId="15" xfId="0" applyNumberFormat="1" applyFont="1" applyFill="1" applyBorder="1" applyAlignment="1">
      <alignment horizontal="right" vertical="center" wrapText="1"/>
    </xf>
    <xf numFmtId="184" fontId="9" fillId="0" borderId="15" xfId="0" applyNumberFormat="1" applyFont="1" applyFill="1" applyBorder="1" applyAlignment="1">
      <alignment horizontal="center"/>
    </xf>
    <xf numFmtId="184" fontId="3" fillId="0" borderId="0" xfId="0" applyNumberFormat="1" applyFont="1" applyFill="1" applyAlignment="1">
      <alignment vertical="top" wrapText="1"/>
    </xf>
    <xf numFmtId="0" fontId="84" fillId="0" borderId="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left" vertical="top" wrapText="1"/>
    </xf>
    <xf numFmtId="184" fontId="75" fillId="0" borderId="23" xfId="0" applyNumberFormat="1" applyFont="1" applyFill="1" applyBorder="1" applyAlignment="1">
      <alignment horizontal="center" vertical="top" wrapText="1"/>
    </xf>
    <xf numFmtId="0" fontId="9" fillId="33" borderId="13" xfId="57" applyFont="1" applyFill="1" applyBorder="1" applyAlignment="1">
      <alignment horizontal="center" vertical="center"/>
      <protection/>
    </xf>
    <xf numFmtId="0" fontId="75" fillId="0" borderId="13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77" fillId="0" borderId="13" xfId="0" applyFont="1" applyBorder="1" applyAlignment="1">
      <alignment/>
    </xf>
    <xf numFmtId="184" fontId="71" fillId="0" borderId="0" xfId="0" applyNumberFormat="1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/>
    </xf>
    <xf numFmtId="0" fontId="75" fillId="33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top" wrapText="1"/>
    </xf>
    <xf numFmtId="184" fontId="75" fillId="0" borderId="0" xfId="0" applyNumberFormat="1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14" fillId="0" borderId="1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2" fontId="9" fillId="0" borderId="13" xfId="0" applyNumberFormat="1" applyFont="1" applyFill="1" applyBorder="1" applyAlignment="1">
      <alignment horizontal="center" vertical="top" wrapText="1"/>
    </xf>
    <xf numFmtId="184" fontId="75" fillId="0" borderId="25" xfId="0" applyNumberFormat="1" applyFont="1" applyFill="1" applyBorder="1" applyAlignment="1">
      <alignment horizontal="center" vertical="top" wrapText="1"/>
    </xf>
    <xf numFmtId="0" fontId="71" fillId="0" borderId="15" xfId="0" applyFont="1" applyFill="1" applyBorder="1" applyAlignment="1">
      <alignment horizontal="center" vertical="top" wrapText="1"/>
    </xf>
    <xf numFmtId="0" fontId="86" fillId="0" borderId="13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top" wrapText="1"/>
    </xf>
    <xf numFmtId="2" fontId="80" fillId="0" borderId="0" xfId="0" applyNumberFormat="1" applyFont="1" applyFill="1" applyBorder="1" applyAlignment="1">
      <alignment horizontal="center" vertical="top" wrapText="1"/>
    </xf>
    <xf numFmtId="0" fontId="80" fillId="0" borderId="0" xfId="0" applyFont="1" applyBorder="1" applyAlignment="1">
      <alignment horizontal="center" vertical="top" wrapText="1"/>
    </xf>
    <xf numFmtId="0" fontId="80" fillId="0" borderId="13" xfId="0" applyFont="1" applyBorder="1" applyAlignment="1">
      <alignment horizontal="center"/>
    </xf>
    <xf numFmtId="184" fontId="80" fillId="0" borderId="15" xfId="0" applyNumberFormat="1" applyFont="1" applyFill="1" applyBorder="1" applyAlignment="1">
      <alignment horizontal="center"/>
    </xf>
    <xf numFmtId="1" fontId="75" fillId="0" borderId="0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84" fontId="75" fillId="0" borderId="0" xfId="0" applyNumberFormat="1" applyFont="1" applyFill="1" applyBorder="1" applyAlignment="1">
      <alignment horizontal="center" vertical="center" wrapText="1"/>
    </xf>
    <xf numFmtId="184" fontId="75" fillId="0" borderId="26" xfId="0" applyNumberFormat="1" applyFont="1" applyFill="1" applyBorder="1" applyAlignment="1">
      <alignment horizontal="center" vertical="center" wrapText="1"/>
    </xf>
    <xf numFmtId="184" fontId="78" fillId="0" borderId="12" xfId="0" applyNumberFormat="1" applyFont="1" applyFill="1" applyBorder="1" applyAlignment="1">
      <alignment horizontal="center" vertical="center" wrapText="1"/>
    </xf>
    <xf numFmtId="1" fontId="80" fillId="0" borderId="16" xfId="0" applyNumberFormat="1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/>
    </xf>
    <xf numFmtId="184" fontId="75" fillId="0" borderId="16" xfId="0" applyNumberFormat="1" applyFont="1" applyFill="1" applyBorder="1" applyAlignment="1">
      <alignment horizontal="center" vertical="center" wrapText="1"/>
    </xf>
    <xf numFmtId="184" fontId="9" fillId="0" borderId="11" xfId="0" applyNumberFormat="1" applyFont="1" applyFill="1" applyBorder="1" applyAlignment="1">
      <alignment horizontal="center" vertical="center" wrapText="1"/>
    </xf>
    <xf numFmtId="184" fontId="80" fillId="0" borderId="11" xfId="0" applyNumberFormat="1" applyFont="1" applyFill="1" applyBorder="1" applyAlignment="1">
      <alignment horizontal="center"/>
    </xf>
    <xf numFmtId="184" fontId="75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84" fontId="80" fillId="0" borderId="16" xfId="0" applyNumberFormat="1" applyFont="1" applyFill="1" applyBorder="1" applyAlignment="1">
      <alignment horizontal="center"/>
    </xf>
    <xf numFmtId="184" fontId="75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7" fontId="9" fillId="0" borderId="20" xfId="0" applyNumberFormat="1" applyFont="1" applyFill="1" applyBorder="1" applyAlignment="1">
      <alignment horizontal="center" vertical="center" wrapText="1"/>
    </xf>
    <xf numFmtId="184" fontId="2" fillId="0" borderId="13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0" fontId="80" fillId="0" borderId="13" xfId="57" applyFont="1" applyFill="1" applyBorder="1" applyAlignment="1">
      <alignment horizontal="center" vertical="center"/>
      <protection/>
    </xf>
    <xf numFmtId="0" fontId="75" fillId="0" borderId="13" xfId="57" applyFont="1" applyFill="1" applyBorder="1" applyAlignment="1">
      <alignment horizontal="center" vertical="center"/>
      <protection/>
    </xf>
    <xf numFmtId="0" fontId="0" fillId="11" borderId="0" xfId="0" applyFont="1" applyFill="1" applyAlignment="1">
      <alignment/>
    </xf>
    <xf numFmtId="184" fontId="0" fillId="11" borderId="0" xfId="0" applyNumberFormat="1" applyFill="1" applyAlignment="1">
      <alignment/>
    </xf>
    <xf numFmtId="184" fontId="13" fillId="0" borderId="0" xfId="0" applyNumberFormat="1" applyFont="1" applyFill="1" applyAlignment="1">
      <alignment vertical="top" wrapText="1"/>
    </xf>
    <xf numFmtId="0" fontId="75" fillId="0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75" fillId="0" borderId="2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32" borderId="13" xfId="0" applyFont="1" applyFill="1" applyBorder="1" applyAlignment="1">
      <alignment horizontal="center" vertical="center"/>
    </xf>
    <xf numFmtId="0" fontId="9" fillId="32" borderId="27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left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13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/>
      <protection/>
    </xf>
    <xf numFmtId="0" fontId="9" fillId="33" borderId="13" xfId="58" applyFont="1" applyFill="1" applyBorder="1" applyAlignment="1">
      <alignment horizontal="center" vertical="center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9" fillId="0" borderId="13" xfId="58" applyFont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184" fontId="80" fillId="0" borderId="13" xfId="0" applyNumberFormat="1" applyFont="1" applyFill="1" applyBorder="1" applyAlignment="1">
      <alignment horizontal="center" vertical="top" wrapText="1"/>
    </xf>
    <xf numFmtId="184" fontId="77" fillId="0" borderId="13" xfId="0" applyNumberFormat="1" applyFont="1" applyBorder="1" applyAlignment="1">
      <alignment/>
    </xf>
    <xf numFmtId="0" fontId="75" fillId="0" borderId="13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184" fontId="87" fillId="0" borderId="15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184" fontId="9" fillId="0" borderId="20" xfId="0" applyNumberFormat="1" applyFont="1" applyFill="1" applyBorder="1" applyAlignment="1">
      <alignment horizontal="center" vertical="center" wrapText="1"/>
    </xf>
    <xf numFmtId="184" fontId="9" fillId="0" borderId="20" xfId="0" applyNumberFormat="1" applyFont="1" applyFill="1" applyBorder="1" applyAlignment="1">
      <alignment horizontal="center" vertical="top" wrapText="1"/>
    </xf>
    <xf numFmtId="0" fontId="9" fillId="32" borderId="13" xfId="58" applyFont="1" applyFill="1" applyBorder="1" applyAlignment="1">
      <alignment horizontal="center" vertical="center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9" fillId="32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/>
    </xf>
    <xf numFmtId="184" fontId="9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2" borderId="17" xfId="57" applyFont="1" applyFill="1" applyBorder="1" applyAlignment="1">
      <alignment horizontal="center" vertical="center"/>
      <protection/>
    </xf>
    <xf numFmtId="0" fontId="9" fillId="0" borderId="17" xfId="57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top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88" fillId="0" borderId="13" xfId="0" applyFont="1" applyFill="1" applyBorder="1" applyAlignment="1">
      <alignment horizontal="center" vertical="top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 vertical="center" wrapText="1"/>
    </xf>
    <xf numFmtId="0" fontId="76" fillId="0" borderId="0" xfId="0" applyFont="1" applyFill="1" applyBorder="1" applyAlignment="1">
      <alignment vertical="center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/>
    </xf>
    <xf numFmtId="1" fontId="80" fillId="0" borderId="15" xfId="0" applyNumberFormat="1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184" fontId="80" fillId="0" borderId="20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89" fillId="0" borderId="0" xfId="0" applyFont="1" applyFill="1" applyBorder="1" applyAlignment="1">
      <alignment horizontal="center"/>
    </xf>
    <xf numFmtId="0" fontId="80" fillId="0" borderId="20" xfId="0" applyFont="1" applyFill="1" applyBorder="1" applyAlignment="1">
      <alignment horizontal="center" vertical="center"/>
    </xf>
    <xf numFmtId="0" fontId="80" fillId="0" borderId="20" xfId="0" applyFont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/>
    </xf>
    <xf numFmtId="0" fontId="80" fillId="0" borderId="21" xfId="0" applyFont="1" applyFill="1" applyBorder="1" applyAlignment="1">
      <alignment horizontal="center" wrapText="1"/>
    </xf>
    <xf numFmtId="184" fontId="80" fillId="0" borderId="12" xfId="0" applyNumberFormat="1" applyFont="1" applyFill="1" applyBorder="1" applyAlignment="1">
      <alignment horizontal="center" vertical="center" wrapText="1"/>
    </xf>
    <xf numFmtId="184" fontId="80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top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184" fontId="80" fillId="0" borderId="13" xfId="0" applyNumberFormat="1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top" wrapText="1"/>
    </xf>
    <xf numFmtId="0" fontId="80" fillId="0" borderId="15" xfId="0" applyFont="1" applyFill="1" applyBorder="1" applyAlignment="1">
      <alignment horizontal="center" vertical="top" wrapText="1"/>
    </xf>
    <xf numFmtId="184" fontId="80" fillId="0" borderId="16" xfId="0" applyNumberFormat="1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5" fillId="0" borderId="20" xfId="0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left" vertical="top" wrapText="1"/>
    </xf>
    <xf numFmtId="0" fontId="76" fillId="0" borderId="16" xfId="0" applyFont="1" applyFill="1" applyBorder="1" applyAlignment="1">
      <alignment horizontal="left" vertical="top" wrapText="1"/>
    </xf>
    <xf numFmtId="184" fontId="80" fillId="0" borderId="13" xfId="0" applyNumberFormat="1" applyFont="1" applyFill="1" applyBorder="1" applyAlignment="1">
      <alignment horizontal="center" vertical="center" wrapText="1"/>
    </xf>
    <xf numFmtId="184" fontId="80" fillId="0" borderId="15" xfId="0" applyNumberFormat="1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top" wrapText="1"/>
    </xf>
    <xf numFmtId="184" fontId="80" fillId="0" borderId="0" xfId="0" applyNumberFormat="1" applyFont="1" applyFill="1" applyBorder="1" applyAlignment="1">
      <alignment horizontal="center" vertical="center" wrapText="1"/>
    </xf>
    <xf numFmtId="0" fontId="80" fillId="32" borderId="13" xfId="57" applyFont="1" applyFill="1" applyBorder="1" applyAlignment="1">
      <alignment horizontal="center" vertical="center"/>
      <protection/>
    </xf>
    <xf numFmtId="0" fontId="80" fillId="0" borderId="13" xfId="57" applyFont="1" applyBorder="1" applyAlignment="1">
      <alignment horizontal="center" vertical="center" wrapText="1"/>
      <protection/>
    </xf>
    <xf numFmtId="0" fontId="80" fillId="0" borderId="13" xfId="57" applyFont="1" applyBorder="1" applyAlignment="1">
      <alignment horizontal="center" vertical="center"/>
      <protection/>
    </xf>
    <xf numFmtId="0" fontId="77" fillId="0" borderId="18" xfId="0" applyFont="1" applyBorder="1" applyAlignment="1">
      <alignment/>
    </xf>
    <xf numFmtId="184" fontId="75" fillId="0" borderId="0" xfId="0" applyNumberFormat="1" applyFont="1" applyFill="1" applyBorder="1" applyAlignment="1">
      <alignment horizontal="center" vertical="center"/>
    </xf>
    <xf numFmtId="0" fontId="80" fillId="0" borderId="13" xfId="57" applyFont="1" applyFill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left" vertical="center" wrapText="1"/>
    </xf>
    <xf numFmtId="0" fontId="76" fillId="0" borderId="16" xfId="0" applyFont="1" applyFill="1" applyBorder="1" applyAlignment="1">
      <alignment horizontal="left" vertical="center" wrapText="1"/>
    </xf>
    <xf numFmtId="0" fontId="76" fillId="0" borderId="14" xfId="0" applyFont="1" applyFill="1" applyBorder="1" applyAlignment="1">
      <alignment horizontal="left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184" fontId="80" fillId="0" borderId="16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left" vertical="center" wrapText="1"/>
    </xf>
    <xf numFmtId="0" fontId="74" fillId="0" borderId="16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74" fillId="0" borderId="28" xfId="0" applyFont="1" applyFill="1" applyBorder="1" applyAlignment="1">
      <alignment horizontal="center" vertical="top" wrapText="1"/>
    </xf>
    <xf numFmtId="0" fontId="74" fillId="0" borderId="29" xfId="0" applyFont="1" applyFill="1" applyBorder="1" applyAlignment="1">
      <alignment horizontal="center" vertical="top" wrapText="1"/>
    </xf>
    <xf numFmtId="0" fontId="74" fillId="0" borderId="12" xfId="0" applyFont="1" applyFill="1" applyBorder="1" applyAlignment="1">
      <alignment horizontal="center" vertical="top" wrapText="1"/>
    </xf>
    <xf numFmtId="0" fontId="80" fillId="0" borderId="15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74" fillId="0" borderId="17" xfId="0" applyFont="1" applyFill="1" applyBorder="1" applyAlignment="1">
      <alignment horizontal="left" vertical="top" wrapText="1"/>
    </xf>
    <xf numFmtId="0" fontId="74" fillId="0" borderId="18" xfId="0" applyFont="1" applyFill="1" applyBorder="1" applyAlignment="1">
      <alignment horizontal="left" vertical="top" wrapText="1"/>
    </xf>
    <xf numFmtId="0" fontId="75" fillId="0" borderId="30" xfId="0" applyFont="1" applyFill="1" applyBorder="1" applyAlignment="1">
      <alignment horizontal="center" vertical="top" wrapText="1"/>
    </xf>
    <xf numFmtId="0" fontId="75" fillId="0" borderId="31" xfId="0" applyFont="1" applyFill="1" applyBorder="1" applyAlignment="1">
      <alignment horizontal="center" vertical="top" wrapText="1"/>
    </xf>
    <xf numFmtId="0" fontId="85" fillId="0" borderId="12" xfId="0" applyFont="1" applyFill="1" applyBorder="1" applyAlignment="1">
      <alignment horizontal="center" vertical="top" wrapText="1"/>
    </xf>
    <xf numFmtId="0" fontId="85" fillId="0" borderId="19" xfId="0" applyFont="1" applyFill="1" applyBorder="1" applyAlignment="1">
      <alignment horizontal="center" vertical="top" wrapText="1"/>
    </xf>
    <xf numFmtId="0" fontId="74" fillId="0" borderId="16" xfId="0" applyFont="1" applyFill="1" applyBorder="1" applyAlignment="1">
      <alignment horizontal="center" vertical="top" wrapText="1"/>
    </xf>
    <xf numFmtId="0" fontId="74" fillId="0" borderId="15" xfId="0" applyFont="1" applyFill="1" applyBorder="1" applyAlignment="1">
      <alignment horizontal="left" vertical="top" wrapText="1"/>
    </xf>
    <xf numFmtId="0" fontId="74" fillId="0" borderId="16" xfId="0" applyFont="1" applyFill="1" applyBorder="1" applyAlignment="1">
      <alignment horizontal="left" vertical="top" wrapText="1"/>
    </xf>
    <xf numFmtId="0" fontId="75" fillId="0" borderId="32" xfId="0" applyFont="1" applyFill="1" applyBorder="1" applyAlignment="1">
      <alignment horizontal="center" vertical="top" wrapText="1"/>
    </xf>
    <xf numFmtId="0" fontId="75" fillId="0" borderId="33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76" fillId="0" borderId="15" xfId="0" applyFont="1" applyFill="1" applyBorder="1" applyAlignment="1">
      <alignment horizontal="left" vertical="center"/>
    </xf>
    <xf numFmtId="0" fontId="76" fillId="0" borderId="16" xfId="0" applyFont="1" applyFill="1" applyBorder="1" applyAlignment="1">
      <alignment horizontal="left" vertical="center"/>
    </xf>
    <xf numFmtId="184" fontId="9" fillId="0" borderId="13" xfId="0" applyNumberFormat="1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184" fontId="80" fillId="0" borderId="13" xfId="0" applyNumberFormat="1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justify" vertical="top" wrapText="1"/>
    </xf>
    <xf numFmtId="0" fontId="76" fillId="0" borderId="21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vertical="center" wrapText="1"/>
    </xf>
    <xf numFmtId="0" fontId="74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184" fontId="9" fillId="0" borderId="15" xfId="0" applyNumberFormat="1" applyFont="1" applyFill="1" applyBorder="1" applyAlignment="1">
      <alignment horizontal="center" vertical="center" wrapText="1"/>
    </xf>
    <xf numFmtId="184" fontId="9" fillId="0" borderId="16" xfId="0" applyNumberFormat="1" applyFont="1" applyFill="1" applyBorder="1" applyAlignment="1">
      <alignment horizontal="center" vertical="center" wrapText="1"/>
    </xf>
    <xf numFmtId="184" fontId="80" fillId="0" borderId="1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5" fillId="0" borderId="20" xfId="0" applyFont="1" applyFill="1" applyBorder="1" applyAlignment="1">
      <alignment horizontal="center" vertical="center" wrapText="1"/>
    </xf>
    <xf numFmtId="0" fontId="75" fillId="0" borderId="27" xfId="0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left" wrapText="1"/>
    </xf>
    <xf numFmtId="0" fontId="74" fillId="0" borderId="16" xfId="0" applyFont="1" applyFill="1" applyBorder="1" applyAlignment="1">
      <alignment horizontal="left" wrapText="1"/>
    </xf>
    <xf numFmtId="0" fontId="76" fillId="0" borderId="15" xfId="0" applyFont="1" applyFill="1" applyBorder="1" applyAlignment="1">
      <alignment horizontal="left" vertical="top" wrapText="1"/>
    </xf>
    <xf numFmtId="0" fontId="76" fillId="0" borderId="16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75" fillId="0" borderId="30" xfId="0" applyFont="1" applyFill="1" applyBorder="1" applyAlignment="1">
      <alignment horizontal="center" vertical="center" wrapText="1"/>
    </xf>
    <xf numFmtId="0" fontId="75" fillId="0" borderId="31" xfId="0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justify" vertical="top" wrapText="1"/>
    </xf>
    <xf numFmtId="0" fontId="76" fillId="0" borderId="16" xfId="0" applyFont="1" applyFill="1" applyBorder="1" applyAlignment="1">
      <alignment horizontal="justify" vertical="top" wrapText="1"/>
    </xf>
    <xf numFmtId="0" fontId="90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6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46"/>
  <sheetViews>
    <sheetView tabSelected="1" view="pageBreakPreview" zoomScaleNormal="70" zoomScaleSheetLayoutView="100" zoomScalePageLayoutView="70" workbookViewId="0" topLeftCell="A1">
      <selection activeCell="H4" sqref="H4"/>
    </sheetView>
  </sheetViews>
  <sheetFormatPr defaultColWidth="9.140625" defaultRowHeight="12.75"/>
  <cols>
    <col min="1" max="1" width="16.140625" style="5" customWidth="1"/>
    <col min="2" max="2" width="15.421875" style="2" customWidth="1"/>
    <col min="3" max="3" width="25.8515625" style="3" customWidth="1"/>
    <col min="4" max="4" width="70.421875" style="3" customWidth="1"/>
    <col min="5" max="5" width="31.421875" style="2" customWidth="1"/>
    <col min="6" max="6" width="10.00390625" style="1" hidden="1" customWidth="1"/>
    <col min="7" max="7" width="59.57421875" style="1" hidden="1" customWidth="1"/>
    <col min="8" max="8" width="159.57421875" style="99" customWidth="1"/>
    <col min="9" max="18" width="9.140625" style="1" hidden="1" customWidth="1"/>
    <col min="19" max="20" width="9.140625" style="1" customWidth="1"/>
    <col min="21" max="16384" width="9.140625" style="1" customWidth="1"/>
  </cols>
  <sheetData>
    <row r="1" spans="1:5" ht="27" customHeight="1">
      <c r="A1" s="367" t="s">
        <v>72</v>
      </c>
      <c r="B1" s="368"/>
      <c r="C1" s="368"/>
      <c r="D1" s="368"/>
      <c r="E1" s="368"/>
    </row>
    <row r="2" spans="1:4" ht="19.5" customHeight="1">
      <c r="A2" s="369" t="s">
        <v>9</v>
      </c>
      <c r="B2" s="370"/>
      <c r="C2" s="370"/>
      <c r="D2" s="4" t="s">
        <v>718</v>
      </c>
    </row>
    <row r="3" spans="1:4" ht="16.5" customHeight="1">
      <c r="A3" s="369" t="s">
        <v>10</v>
      </c>
      <c r="B3" s="370"/>
      <c r="C3" s="370"/>
      <c r="D3" s="4" t="s">
        <v>719</v>
      </c>
    </row>
    <row r="4" spans="1:5" ht="31.5" customHeight="1">
      <c r="A4" s="371" t="s">
        <v>233</v>
      </c>
      <c r="B4" s="372"/>
      <c r="C4" s="372"/>
      <c r="D4" s="372"/>
      <c r="E4" s="372"/>
    </row>
    <row r="5" spans="1:6" ht="19.5" customHeight="1">
      <c r="A5" s="363" t="s">
        <v>0</v>
      </c>
      <c r="B5" s="364"/>
      <c r="C5" s="364"/>
      <c r="D5" s="364"/>
      <c r="E5" s="257" t="s">
        <v>7</v>
      </c>
      <c r="F5" s="120"/>
    </row>
    <row r="6" spans="1:8" ht="17.25" customHeight="1">
      <c r="A6" s="325" t="s">
        <v>74</v>
      </c>
      <c r="B6" s="331"/>
      <c r="C6" s="321" t="s">
        <v>145</v>
      </c>
      <c r="D6" s="321"/>
      <c r="E6" s="46">
        <v>5.474</v>
      </c>
      <c r="H6" s="93" t="str">
        <f>CONCATENATE("Aluminium Conductor Steel Reinforced scrap, Lying at ",C6,". Quantity in MT - ",E6,)</f>
        <v>Aluminium Conductor Steel Reinforced scrap, Lying at Outlet store Shri Muktsar sahib. Quantity in MT - 5.474</v>
      </c>
    </row>
    <row r="7" spans="1:8" ht="17.25" customHeight="1">
      <c r="A7" s="325" t="s">
        <v>114</v>
      </c>
      <c r="B7" s="331"/>
      <c r="C7" s="321" t="s">
        <v>201</v>
      </c>
      <c r="D7" s="321"/>
      <c r="E7" s="46">
        <v>7.579</v>
      </c>
      <c r="F7" s="120"/>
      <c r="H7" s="93" t="str">
        <f aca="true" t="shared" si="0" ref="H7:H26">CONCATENATE("Aluminium Conductor Steel Reinforced scrap, Lying at ",C7,". Quantity in MT - ",E7,)</f>
        <v>Aluminium Conductor Steel Reinforced scrap, Lying at CS Kotkapura  (.237 MT Intermingle). Quantity in MT - 7.579</v>
      </c>
    </row>
    <row r="8" spans="1:8" ht="17.25" customHeight="1">
      <c r="A8" s="325" t="s">
        <v>161</v>
      </c>
      <c r="B8" s="331"/>
      <c r="C8" s="321" t="s">
        <v>498</v>
      </c>
      <c r="D8" s="321"/>
      <c r="E8" s="46">
        <v>10.512</v>
      </c>
      <c r="F8" s="120"/>
      <c r="H8" s="93" t="str">
        <f t="shared" si="0"/>
        <v>Aluminium Conductor Steel Reinforced scrap, Lying at CS Kotkapura . Quantity in MT - 10.512</v>
      </c>
    </row>
    <row r="9" spans="1:8" ht="17.25" customHeight="1">
      <c r="A9" s="325" t="s">
        <v>178</v>
      </c>
      <c r="B9" s="331"/>
      <c r="C9" s="337" t="s">
        <v>261</v>
      </c>
      <c r="D9" s="337"/>
      <c r="E9" s="303">
        <v>5.81</v>
      </c>
      <c r="F9" s="1">
        <v>2.834</v>
      </c>
      <c r="H9" s="93" t="str">
        <f t="shared" si="0"/>
        <v>Aluminium Conductor Steel Reinforced scrap, Lying at Outlet store Fazilka. Quantity in MT - 5.81</v>
      </c>
    </row>
    <row r="10" spans="1:8" ht="17.25" customHeight="1">
      <c r="A10" s="325" t="s">
        <v>162</v>
      </c>
      <c r="B10" s="331"/>
      <c r="C10" s="337" t="s">
        <v>560</v>
      </c>
      <c r="D10" s="337"/>
      <c r="E10" s="303">
        <v>9.701</v>
      </c>
      <c r="F10" s="1">
        <v>7.356</v>
      </c>
      <c r="G10" s="120"/>
      <c r="H10" s="93" t="str">
        <f t="shared" si="0"/>
        <v>Aluminium Conductor Steel Reinforced scrap, Lying at CS Bathinda (.135 MT intermingle). Quantity in MT - 9.701</v>
      </c>
    </row>
    <row r="11" spans="1:8" ht="17.25" customHeight="1">
      <c r="A11" s="325" t="s">
        <v>180</v>
      </c>
      <c r="B11" s="331"/>
      <c r="C11" s="355" t="s">
        <v>772</v>
      </c>
      <c r="D11" s="355"/>
      <c r="E11" s="280">
        <v>6.849</v>
      </c>
      <c r="F11" s="1">
        <v>5.79</v>
      </c>
      <c r="G11" s="1" t="s">
        <v>771</v>
      </c>
      <c r="H11" s="93" t="str">
        <f t="shared" si="0"/>
        <v>Aluminium Conductor Steel Reinforced scrap, Lying at Outlet store Bhagta Bhai Ka (.305 MT Intermingle). Quantity in MT - 6.849</v>
      </c>
    </row>
    <row r="12" spans="1:8" ht="17.25" customHeight="1">
      <c r="A12" s="325" t="s">
        <v>163</v>
      </c>
      <c r="B12" s="331"/>
      <c r="C12" s="321" t="s">
        <v>181</v>
      </c>
      <c r="D12" s="321"/>
      <c r="E12" s="46">
        <v>5.702</v>
      </c>
      <c r="H12" s="93" t="str">
        <f t="shared" si="0"/>
        <v>Aluminium Conductor Steel Reinforced scrap, Lying at Outlet store Patran. Quantity in MT - 5.702</v>
      </c>
    </row>
    <row r="13" spans="1:8" ht="17.25" customHeight="1">
      <c r="A13" s="325" t="s">
        <v>202</v>
      </c>
      <c r="B13" s="331"/>
      <c r="C13" s="321" t="s">
        <v>182</v>
      </c>
      <c r="D13" s="321"/>
      <c r="E13" s="46">
        <v>7.058</v>
      </c>
      <c r="H13" s="93" t="str">
        <f t="shared" si="0"/>
        <v>Aluminium Conductor Steel Reinforced scrap, Lying at Outlet store Barnala. Quantity in MT - 7.058</v>
      </c>
    </row>
    <row r="14" spans="1:8" ht="17.25" customHeight="1">
      <c r="A14" s="325" t="s">
        <v>183</v>
      </c>
      <c r="B14" s="331"/>
      <c r="C14" s="325" t="s">
        <v>532</v>
      </c>
      <c r="D14" s="326"/>
      <c r="E14" s="46">
        <v>11.367</v>
      </c>
      <c r="H14" s="93" t="str">
        <f t="shared" si="0"/>
        <v>Aluminium Conductor Steel Reinforced scrap, Lying at S &amp; T Store Bathinda (1.367 MT Intermingle). Quantity in MT - 11.367</v>
      </c>
    </row>
    <row r="15" spans="1:8" ht="17.25" customHeight="1">
      <c r="A15" s="325" t="s">
        <v>184</v>
      </c>
      <c r="B15" s="331"/>
      <c r="C15" s="325" t="s">
        <v>57</v>
      </c>
      <c r="D15" s="326"/>
      <c r="E15" s="46">
        <v>10</v>
      </c>
      <c r="H15" s="93" t="str">
        <f t="shared" si="0"/>
        <v>Aluminium Conductor Steel Reinforced scrap, Lying at S &amp; T Store Bathinda. Quantity in MT - 10</v>
      </c>
    </row>
    <row r="16" spans="1:8" ht="17.25" customHeight="1">
      <c r="A16" s="325" t="s">
        <v>204</v>
      </c>
      <c r="B16" s="331"/>
      <c r="C16" s="337" t="s">
        <v>769</v>
      </c>
      <c r="D16" s="354"/>
      <c r="E16" s="303">
        <v>12.457</v>
      </c>
      <c r="F16" s="1">
        <v>9.364</v>
      </c>
      <c r="G16" s="1" t="s">
        <v>768</v>
      </c>
      <c r="H16" s="93" t="str">
        <f t="shared" si="0"/>
        <v>Aluminium Conductor Steel Reinforced scrap, Lying at CS Malout (.201 MT Intermingle). Quantity in MT - 12.457</v>
      </c>
    </row>
    <row r="17" spans="1:8" ht="17.25" customHeight="1">
      <c r="A17" s="325" t="s">
        <v>266</v>
      </c>
      <c r="B17" s="331"/>
      <c r="C17" s="336" t="s">
        <v>265</v>
      </c>
      <c r="D17" s="336"/>
      <c r="E17" s="230">
        <v>9</v>
      </c>
      <c r="F17" s="120"/>
      <c r="H17" s="93" t="str">
        <f t="shared" si="0"/>
        <v>Aluminium Conductor Steel Reinforced scrap, Lying at Outlet store Moga. Quantity in MT - 9</v>
      </c>
    </row>
    <row r="18" spans="1:8" ht="17.25" customHeight="1">
      <c r="A18" s="325" t="s">
        <v>300</v>
      </c>
      <c r="B18" s="331"/>
      <c r="C18" s="321" t="s">
        <v>353</v>
      </c>
      <c r="D18" s="321"/>
      <c r="E18" s="46">
        <v>6.931</v>
      </c>
      <c r="F18" s="120"/>
      <c r="H18" s="93" t="str">
        <f t="shared" si="0"/>
        <v>Aluminium Conductor Steel Reinforced scrap, Lying at CS Ferozepur (.015 MT Intermingle). Quantity in MT - 6.931</v>
      </c>
    </row>
    <row r="19" spans="1:8" ht="17.25" customHeight="1">
      <c r="A19" s="325" t="s">
        <v>301</v>
      </c>
      <c r="B19" s="331"/>
      <c r="C19" s="337" t="s">
        <v>231</v>
      </c>
      <c r="D19" s="354"/>
      <c r="E19" s="303">
        <v>1.748</v>
      </c>
      <c r="F19" s="120">
        <v>1.704</v>
      </c>
      <c r="H19" s="93" t="str">
        <f t="shared" si="0"/>
        <v>Aluminium Conductor Steel Reinforced scrap, Lying at Outlet store Rajpura. Quantity in MT - 1.748</v>
      </c>
    </row>
    <row r="20" spans="1:8" ht="17.25" customHeight="1">
      <c r="A20" s="325" t="s">
        <v>303</v>
      </c>
      <c r="B20" s="331"/>
      <c r="C20" s="321" t="s">
        <v>79</v>
      </c>
      <c r="D20" s="325"/>
      <c r="E20" s="46">
        <v>4.754</v>
      </c>
      <c r="F20" s="120"/>
      <c r="H20" s="93" t="str">
        <f t="shared" si="0"/>
        <v>Aluminium Conductor Steel Reinforced scrap, Lying at CS Sangrur. Quantity in MT - 4.754</v>
      </c>
    </row>
    <row r="21" spans="1:8" ht="17.25" customHeight="1">
      <c r="A21" s="325" t="s">
        <v>304</v>
      </c>
      <c r="B21" s="331"/>
      <c r="C21" s="337" t="s">
        <v>558</v>
      </c>
      <c r="D21" s="354"/>
      <c r="E21" s="303">
        <v>0.762</v>
      </c>
      <c r="F21" s="120">
        <v>0.43</v>
      </c>
      <c r="H21" s="93" t="str">
        <f t="shared" si="0"/>
        <v>Aluminium Conductor Steel Reinforced scrap, Lying at Outlet store Nabha. Quantity in MT - 0.762</v>
      </c>
    </row>
    <row r="22" spans="1:8" ht="17.25" customHeight="1">
      <c r="A22" s="325" t="s">
        <v>544</v>
      </c>
      <c r="B22" s="331"/>
      <c r="C22" s="337" t="s">
        <v>186</v>
      </c>
      <c r="D22" s="354"/>
      <c r="E22" s="303">
        <v>7.865</v>
      </c>
      <c r="F22" s="120">
        <v>5.128</v>
      </c>
      <c r="H22" s="93" t="str">
        <f t="shared" si="0"/>
        <v>Aluminium Conductor Steel Reinforced scrap, Lying at Outlet store Mansa. Quantity in MT - 7.865</v>
      </c>
    </row>
    <row r="23" spans="1:8" ht="17.25" customHeight="1">
      <c r="A23" s="325" t="s">
        <v>354</v>
      </c>
      <c r="B23" s="331"/>
      <c r="C23" s="337" t="s">
        <v>774</v>
      </c>
      <c r="D23" s="354"/>
      <c r="E23" s="303">
        <v>3.04</v>
      </c>
      <c r="F23" s="120">
        <v>1.577</v>
      </c>
      <c r="H23" s="93" t="str">
        <f t="shared" si="0"/>
        <v>Aluminium Conductor Steel Reinforced scrap, Lying at CS Mohali . Quantity in MT - 3.04</v>
      </c>
    </row>
    <row r="24" spans="1:8" ht="17.25" customHeight="1">
      <c r="A24" s="325" t="s">
        <v>424</v>
      </c>
      <c r="B24" s="331"/>
      <c r="C24" s="321" t="s">
        <v>179</v>
      </c>
      <c r="D24" s="321"/>
      <c r="E24" s="46">
        <v>1.643</v>
      </c>
      <c r="F24" s="120"/>
      <c r="H24" s="93" t="str">
        <f t="shared" si="0"/>
        <v>Aluminium Conductor Steel Reinforced scrap, Lying at Outlet store Malerkotla. Quantity in MT - 1.643</v>
      </c>
    </row>
    <row r="25" spans="1:8" ht="17.25" customHeight="1">
      <c r="A25" s="325" t="s">
        <v>766</v>
      </c>
      <c r="B25" s="331"/>
      <c r="C25" s="337" t="s">
        <v>185</v>
      </c>
      <c r="D25" s="337"/>
      <c r="E25" s="303">
        <v>0.766</v>
      </c>
      <c r="F25" s="120" t="s">
        <v>711</v>
      </c>
      <c r="H25" s="93" t="str">
        <f t="shared" si="0"/>
        <v>Aluminium Conductor Steel Reinforced scrap, Lying at Outlet store Ropar. Quantity in MT - 0.766</v>
      </c>
    </row>
    <row r="26" spans="1:8" ht="17.25" customHeight="1" thickBot="1">
      <c r="A26" s="325" t="s">
        <v>483</v>
      </c>
      <c r="B26" s="331"/>
      <c r="C26" s="337" t="s">
        <v>776</v>
      </c>
      <c r="D26" s="354"/>
      <c r="E26" s="303">
        <v>2.128</v>
      </c>
      <c r="F26" s="120" t="s">
        <v>711</v>
      </c>
      <c r="H26" s="93" t="str">
        <f t="shared" si="0"/>
        <v>Aluminium Conductor Steel Reinforced scrap, Lying at CS Patiala (.017 MT Intermingle). Quantity in MT - 2.128</v>
      </c>
    </row>
    <row r="27" spans="1:5" ht="17.25" customHeight="1" thickBot="1">
      <c r="A27" s="365" t="s">
        <v>113</v>
      </c>
      <c r="B27" s="366"/>
      <c r="C27" s="353"/>
      <c r="D27" s="353"/>
      <c r="E27" s="123">
        <f>SUM(E6:E26)</f>
        <v>131.14599999999996</v>
      </c>
    </row>
    <row r="28" spans="1:5" ht="17.25" customHeight="1">
      <c r="A28" s="139"/>
      <c r="B28" s="139"/>
      <c r="C28" s="310"/>
      <c r="D28" s="310"/>
      <c r="E28" s="140"/>
    </row>
    <row r="29" spans="1:5" ht="17.25" customHeight="1">
      <c r="A29" s="356" t="s">
        <v>328</v>
      </c>
      <c r="B29" s="357"/>
      <c r="C29" s="357"/>
      <c r="D29" s="357"/>
      <c r="E29" s="257" t="s">
        <v>7</v>
      </c>
    </row>
    <row r="30" spans="1:8" ht="17.25" customHeight="1">
      <c r="A30" s="321" t="s">
        <v>329</v>
      </c>
      <c r="B30" s="321"/>
      <c r="C30" s="321" t="s">
        <v>265</v>
      </c>
      <c r="D30" s="321"/>
      <c r="E30" s="73">
        <v>0.972</v>
      </c>
      <c r="H30" s="93" t="str">
        <f>CONCATENATE("LT ABC Cable scrap without insulation, Lying at ",C30,". Quantity in MT - ",E30,)</f>
        <v>LT ABC Cable scrap without insulation, Lying at Outlet store Moga. Quantity in MT - 0.972</v>
      </c>
    </row>
    <row r="31" spans="1:8" ht="17.25" customHeight="1" thickBot="1">
      <c r="A31" s="322" t="s">
        <v>344</v>
      </c>
      <c r="B31" s="323"/>
      <c r="C31" s="325" t="s">
        <v>231</v>
      </c>
      <c r="D31" s="331"/>
      <c r="E31" s="231">
        <v>1.128</v>
      </c>
      <c r="H31" s="93" t="str">
        <f>CONCATENATE("LT ABC Cable scrap without insulation, Lying at ",C31,". Quantity in MT - ",E31,)</f>
        <v>LT ABC Cable scrap without insulation, Lying at Outlet store Rajpura. Quantity in MT - 1.128</v>
      </c>
    </row>
    <row r="32" spans="1:5" ht="17.25" customHeight="1" thickBot="1">
      <c r="A32" s="358" t="s">
        <v>113</v>
      </c>
      <c r="B32" s="359"/>
      <c r="C32" s="362"/>
      <c r="D32" s="362"/>
      <c r="E32" s="148">
        <f>E30+E31</f>
        <v>2.0999999999999996</v>
      </c>
    </row>
    <row r="33" spans="1:5" ht="17.25" customHeight="1">
      <c r="A33" s="121"/>
      <c r="B33" s="121"/>
      <c r="C33" s="122"/>
      <c r="D33" s="360"/>
      <c r="E33" s="361"/>
    </row>
    <row r="34" spans="1:5" ht="17.25" customHeight="1">
      <c r="A34" s="363" t="s">
        <v>12</v>
      </c>
      <c r="B34" s="364"/>
      <c r="C34" s="364"/>
      <c r="D34" s="364"/>
      <c r="E34" s="257" t="s">
        <v>7</v>
      </c>
    </row>
    <row r="35" spans="1:8" ht="17.25" customHeight="1">
      <c r="A35" s="325" t="s">
        <v>73</v>
      </c>
      <c r="B35" s="331"/>
      <c r="C35" s="321" t="s">
        <v>28</v>
      </c>
      <c r="D35" s="321"/>
      <c r="E35" s="73">
        <v>15.303</v>
      </c>
      <c r="H35" s="93" t="str">
        <f aca="true" t="shared" si="1" ref="H35:H56">CONCATENATE("Damaged Distribution Transformer's HT/LT Aluminium coils scrap with insulation, Lying at ",C35,". Quantity in MT - ",E35,)</f>
        <v>Damaged Distribution Transformer's HT/LT Aluminium coils scrap with insulation, Lying at TRY Malerkotla. Quantity in MT - 15.303</v>
      </c>
    </row>
    <row r="36" spans="1:8" ht="17.25" customHeight="1">
      <c r="A36" s="325" t="s">
        <v>122</v>
      </c>
      <c r="B36" s="331"/>
      <c r="C36" s="321" t="s">
        <v>136</v>
      </c>
      <c r="D36" s="321"/>
      <c r="E36" s="73">
        <v>14.24</v>
      </c>
      <c r="H36" s="93" t="str">
        <f t="shared" si="1"/>
        <v>Damaged Distribution Transformer's HT/LT Aluminium coils scrap with insulation, Lying at TRY Patran. Quantity in MT - 14.24</v>
      </c>
    </row>
    <row r="37" spans="1:8" ht="17.25" customHeight="1">
      <c r="A37" s="325" t="s">
        <v>123</v>
      </c>
      <c r="B37" s="331"/>
      <c r="C37" s="321" t="s">
        <v>136</v>
      </c>
      <c r="D37" s="321"/>
      <c r="E37" s="73">
        <v>10</v>
      </c>
      <c r="H37" s="93" t="str">
        <f t="shared" si="1"/>
        <v>Damaged Distribution Transformer's HT/LT Aluminium coils scrap with insulation, Lying at TRY Patran. Quantity in MT - 10</v>
      </c>
    </row>
    <row r="38" spans="1:8" ht="17.25" customHeight="1">
      <c r="A38" s="325" t="s">
        <v>205</v>
      </c>
      <c r="B38" s="331"/>
      <c r="C38" s="321" t="s">
        <v>246</v>
      </c>
      <c r="D38" s="321"/>
      <c r="E38" s="73">
        <v>16.84</v>
      </c>
      <c r="H38" s="93" t="str">
        <f t="shared" si="1"/>
        <v>Damaged Distribution Transformer's HT/LT Aluminium coils scrap with insulation, Lying at TRY Kotkapura. Quantity in MT - 16.84</v>
      </c>
    </row>
    <row r="39" spans="1:8" ht="17.25" customHeight="1">
      <c r="A39" s="325" t="s">
        <v>158</v>
      </c>
      <c r="B39" s="331"/>
      <c r="C39" s="321" t="s">
        <v>246</v>
      </c>
      <c r="D39" s="321"/>
      <c r="E39" s="73">
        <v>10</v>
      </c>
      <c r="H39" s="93" t="str">
        <f t="shared" si="1"/>
        <v>Damaged Distribution Transformer's HT/LT Aluminium coils scrap with insulation, Lying at TRY Kotkapura. Quantity in MT - 10</v>
      </c>
    </row>
    <row r="40" spans="1:8" ht="17.25" customHeight="1">
      <c r="A40" s="325" t="s">
        <v>187</v>
      </c>
      <c r="B40" s="331"/>
      <c r="C40" s="321" t="s">
        <v>246</v>
      </c>
      <c r="D40" s="321"/>
      <c r="E40" s="73">
        <v>10</v>
      </c>
      <c r="H40" s="93" t="str">
        <f t="shared" si="1"/>
        <v>Damaged Distribution Transformer's HT/LT Aluminium coils scrap with insulation, Lying at TRY Kotkapura. Quantity in MT - 10</v>
      </c>
    </row>
    <row r="41" spans="1:8" ht="17.25" customHeight="1">
      <c r="A41" s="325" t="s">
        <v>247</v>
      </c>
      <c r="B41" s="331"/>
      <c r="C41" s="321" t="s">
        <v>246</v>
      </c>
      <c r="D41" s="321"/>
      <c r="E41" s="73">
        <v>10</v>
      </c>
      <c r="H41" s="93" t="str">
        <f t="shared" si="1"/>
        <v>Damaged Distribution Transformer's HT/LT Aluminium coils scrap with insulation, Lying at TRY Kotkapura. Quantity in MT - 10</v>
      </c>
    </row>
    <row r="42" spans="1:8" ht="17.25" customHeight="1">
      <c r="A42" s="325" t="s">
        <v>165</v>
      </c>
      <c r="B42" s="331"/>
      <c r="C42" s="321" t="s">
        <v>164</v>
      </c>
      <c r="D42" s="321"/>
      <c r="E42" s="73">
        <v>15</v>
      </c>
      <c r="F42" s="120"/>
      <c r="H42" s="93" t="str">
        <f t="shared" si="1"/>
        <v>Damaged Distribution Transformer's HT/LT Aluminium coils scrap with insulation, Lying at TRY Malout. Quantity in MT - 15</v>
      </c>
    </row>
    <row r="43" spans="1:8" ht="17.25" customHeight="1">
      <c r="A43" s="325" t="s">
        <v>249</v>
      </c>
      <c r="B43" s="331"/>
      <c r="C43" s="321" t="s">
        <v>164</v>
      </c>
      <c r="D43" s="321"/>
      <c r="E43" s="73">
        <v>14.154</v>
      </c>
      <c r="F43" s="120"/>
      <c r="G43" s="120"/>
      <c r="H43" s="93" t="str">
        <f t="shared" si="1"/>
        <v>Damaged Distribution Transformer's HT/LT Aluminium coils scrap with insulation, Lying at TRY Malout. Quantity in MT - 14.154</v>
      </c>
    </row>
    <row r="44" spans="1:8" ht="17.25" customHeight="1">
      <c r="A44" s="325" t="s">
        <v>262</v>
      </c>
      <c r="B44" s="331"/>
      <c r="C44" s="337" t="s">
        <v>166</v>
      </c>
      <c r="D44" s="337"/>
      <c r="E44" s="219">
        <v>24.561</v>
      </c>
      <c r="F44" s="120">
        <v>16</v>
      </c>
      <c r="G44" s="120"/>
      <c r="H44" s="93" t="str">
        <f t="shared" si="1"/>
        <v>Damaged Distribution Transformer's HT/LT Aluminium coils scrap with insulation, Lying at TRY Mansa. Quantity in MT - 24.561</v>
      </c>
    </row>
    <row r="45" spans="1:8" ht="17.25" customHeight="1">
      <c r="A45" s="325" t="s">
        <v>383</v>
      </c>
      <c r="B45" s="331"/>
      <c r="C45" s="321" t="s">
        <v>166</v>
      </c>
      <c r="D45" s="321"/>
      <c r="E45" s="73">
        <v>16.423</v>
      </c>
      <c r="F45" s="120"/>
      <c r="H45" s="93" t="str">
        <f t="shared" si="1"/>
        <v>Damaged Distribution Transformer's HT/LT Aluminium coils scrap with insulation, Lying at TRY Mansa. Quantity in MT - 16.423</v>
      </c>
    </row>
    <row r="46" spans="1:8" ht="17.25" customHeight="1">
      <c r="A46" s="325" t="s">
        <v>399</v>
      </c>
      <c r="B46" s="331"/>
      <c r="C46" s="321" t="s">
        <v>166</v>
      </c>
      <c r="D46" s="321"/>
      <c r="E46" s="73">
        <v>10</v>
      </c>
      <c r="H46" s="93" t="str">
        <f t="shared" si="1"/>
        <v>Damaged Distribution Transformer's HT/LT Aluminium coils scrap with insulation, Lying at TRY Mansa. Quantity in MT - 10</v>
      </c>
    </row>
    <row r="47" spans="1:8" ht="17.25" customHeight="1">
      <c r="A47" s="325" t="s">
        <v>400</v>
      </c>
      <c r="B47" s="331"/>
      <c r="C47" s="321" t="s">
        <v>166</v>
      </c>
      <c r="D47" s="321"/>
      <c r="E47" s="73">
        <v>10</v>
      </c>
      <c r="H47" s="93" t="str">
        <f t="shared" si="1"/>
        <v>Damaged Distribution Transformer's HT/LT Aluminium coils scrap with insulation, Lying at TRY Mansa. Quantity in MT - 10</v>
      </c>
    </row>
    <row r="48" spans="1:8" ht="17.25" customHeight="1">
      <c r="A48" s="325" t="s">
        <v>475</v>
      </c>
      <c r="B48" s="331"/>
      <c r="C48" s="321" t="s">
        <v>143</v>
      </c>
      <c r="D48" s="321"/>
      <c r="E48" s="73">
        <v>3.66</v>
      </c>
      <c r="H48" s="93" t="str">
        <f t="shared" si="1"/>
        <v>Damaged Distribution Transformer's HT/LT Aluminium coils scrap with insulation, Lying at TRY Ropar. Quantity in MT - 3.66</v>
      </c>
    </row>
    <row r="49" spans="1:8" ht="17.25" customHeight="1">
      <c r="A49" s="325" t="s">
        <v>484</v>
      </c>
      <c r="B49" s="331"/>
      <c r="C49" s="337" t="s">
        <v>36</v>
      </c>
      <c r="D49" s="337"/>
      <c r="E49" s="219">
        <v>25.3</v>
      </c>
      <c r="F49" s="1">
        <v>17.38</v>
      </c>
      <c r="H49" s="93" t="str">
        <f t="shared" si="1"/>
        <v>Damaged Distribution Transformer's HT/LT Aluminium coils scrap with insulation, Lying at TRY Bathinda. Quantity in MT - 25.3</v>
      </c>
    </row>
    <row r="50" spans="1:8" ht="17.25" customHeight="1">
      <c r="A50" s="325" t="s">
        <v>485</v>
      </c>
      <c r="B50" s="331"/>
      <c r="C50" s="326" t="s">
        <v>135</v>
      </c>
      <c r="D50" s="326"/>
      <c r="E50" s="73">
        <v>20.611</v>
      </c>
      <c r="F50" s="120"/>
      <c r="G50" s="1">
        <v>5.911</v>
      </c>
      <c r="H50" s="93" t="str">
        <f t="shared" si="1"/>
        <v>Damaged Distribution Transformer's HT/LT Aluminium coils scrap with insulation, Lying at TRY Sangrur. Quantity in MT - 20.611</v>
      </c>
    </row>
    <row r="51" spans="1:8" ht="17.25" customHeight="1">
      <c r="A51" s="325" t="s">
        <v>486</v>
      </c>
      <c r="B51" s="331"/>
      <c r="C51" s="326" t="s">
        <v>135</v>
      </c>
      <c r="D51" s="326"/>
      <c r="E51" s="73">
        <v>10</v>
      </c>
      <c r="H51" s="93" t="str">
        <f t="shared" si="1"/>
        <v>Damaged Distribution Transformer's HT/LT Aluminium coils scrap with insulation, Lying at TRY Sangrur. Quantity in MT - 10</v>
      </c>
    </row>
    <row r="52" spans="1:8" ht="17.25" customHeight="1">
      <c r="A52" s="325" t="s">
        <v>488</v>
      </c>
      <c r="B52" s="331"/>
      <c r="C52" s="326" t="s">
        <v>132</v>
      </c>
      <c r="D52" s="326"/>
      <c r="E52" s="73">
        <v>7.16</v>
      </c>
      <c r="H52" s="93" t="str">
        <f t="shared" si="1"/>
        <v>Damaged Distribution Transformer's HT/LT Aluminium coils scrap with insulation, Lying at TRY Bhagta Bhai Ka. Quantity in MT - 7.16</v>
      </c>
    </row>
    <row r="53" spans="1:8" ht="17.25" customHeight="1">
      <c r="A53" s="325" t="s">
        <v>496</v>
      </c>
      <c r="B53" s="331"/>
      <c r="C53" s="326" t="s">
        <v>132</v>
      </c>
      <c r="D53" s="326"/>
      <c r="E53" s="73">
        <v>10</v>
      </c>
      <c r="H53" s="93" t="str">
        <f t="shared" si="1"/>
        <v>Damaged Distribution Transformer's HT/LT Aluminium coils scrap with insulation, Lying at TRY Bhagta Bhai Ka. Quantity in MT - 10</v>
      </c>
    </row>
    <row r="54" spans="1:8" ht="17.25" customHeight="1">
      <c r="A54" s="325" t="s">
        <v>497</v>
      </c>
      <c r="B54" s="331"/>
      <c r="C54" s="321" t="s">
        <v>42</v>
      </c>
      <c r="D54" s="321"/>
      <c r="E54" s="73">
        <v>4.435</v>
      </c>
      <c r="H54" s="93" t="str">
        <f t="shared" si="1"/>
        <v>Damaged Distribution Transformer's HT/LT Aluminium coils scrap with insulation, Lying at TRY Ferozepur. Quantity in MT - 4.435</v>
      </c>
    </row>
    <row r="55" spans="1:8" ht="17.25" customHeight="1">
      <c r="A55" s="325" t="s">
        <v>557</v>
      </c>
      <c r="B55" s="331"/>
      <c r="C55" s="376" t="s">
        <v>308</v>
      </c>
      <c r="D55" s="376"/>
      <c r="E55" s="219">
        <v>12.865</v>
      </c>
      <c r="F55" s="1">
        <v>7.746</v>
      </c>
      <c r="H55" s="93" t="str">
        <f t="shared" si="1"/>
        <v>Damaged Distribution Transformer's HT/LT Aluminium coils scrap with insulation, Lying at TRY Barnala. Quantity in MT - 12.865</v>
      </c>
    </row>
    <row r="56" spans="1:8" ht="17.25" customHeight="1" thickBot="1">
      <c r="A56" s="325" t="s">
        <v>712</v>
      </c>
      <c r="B56" s="331"/>
      <c r="C56" s="321" t="s">
        <v>222</v>
      </c>
      <c r="D56" s="321"/>
      <c r="E56" s="73">
        <v>8.83</v>
      </c>
      <c r="H56" s="93" t="str">
        <f t="shared" si="1"/>
        <v>Damaged Distribution Transformer's HT/LT Aluminium coils scrap with insulation, Lying at TRY Moga. Quantity in MT - 8.83</v>
      </c>
    </row>
    <row r="57" spans="1:5" ht="17.25" customHeight="1" thickBot="1">
      <c r="A57" s="358" t="s">
        <v>113</v>
      </c>
      <c r="B57" s="359"/>
      <c r="C57" s="351"/>
      <c r="D57" s="352"/>
      <c r="E57" s="123">
        <f>SUM(E35:E56)</f>
        <v>279.38199999999995</v>
      </c>
    </row>
    <row r="58" spans="1:8" ht="17.25" customHeight="1">
      <c r="A58" s="378"/>
      <c r="B58" s="378"/>
      <c r="C58" s="378"/>
      <c r="D58" s="378"/>
      <c r="E58" s="379"/>
      <c r="H58" s="110"/>
    </row>
    <row r="59" spans="1:5" ht="17.25" customHeight="1">
      <c r="A59" s="381" t="s">
        <v>107</v>
      </c>
      <c r="B59" s="381"/>
      <c r="C59" s="381"/>
      <c r="D59" s="381"/>
      <c r="E59" s="382"/>
    </row>
    <row r="60" spans="1:5" ht="17.25" customHeight="1">
      <c r="A60" s="349" t="s">
        <v>783</v>
      </c>
      <c r="B60" s="350"/>
      <c r="C60" s="350"/>
      <c r="D60" s="350"/>
      <c r="E60" s="350"/>
    </row>
    <row r="61" spans="1:5" ht="17.25" customHeight="1">
      <c r="A61" s="89"/>
      <c r="B61" s="90"/>
      <c r="C61" s="90"/>
      <c r="D61" s="90"/>
      <c r="E61" s="90"/>
    </row>
    <row r="62" spans="1:6" ht="29.25" customHeight="1">
      <c r="A62" s="325" t="s">
        <v>241</v>
      </c>
      <c r="B62" s="326"/>
      <c r="C62" s="326"/>
      <c r="D62" s="326"/>
      <c r="E62" s="331"/>
      <c r="F62" s="1">
        <f>B77+B91+B110+B124+B137+B157+B176+B196+B220+B243+B265+B285+B310+B327+B342+B356+B379+B397+B411+B427+B441+B461+B487+B505+B520+B539+B558+B577+B594+B610+B625+B642+B659+B668+B678+B693+B710+B723+B744+B752</f>
        <v>3275</v>
      </c>
    </row>
    <row r="63" spans="1:5" ht="24.75" customHeight="1">
      <c r="A63" s="40" t="s">
        <v>212</v>
      </c>
      <c r="B63" s="40" t="s">
        <v>213</v>
      </c>
      <c r="C63" s="40" t="s">
        <v>214</v>
      </c>
      <c r="D63" s="40" t="s">
        <v>215</v>
      </c>
      <c r="E63" s="39" t="s">
        <v>216</v>
      </c>
    </row>
    <row r="64" spans="1:5" ht="18" customHeight="1">
      <c r="A64" s="318" t="s">
        <v>223</v>
      </c>
      <c r="B64" s="319"/>
      <c r="C64" s="320"/>
      <c r="D64" s="40"/>
      <c r="E64" s="39"/>
    </row>
    <row r="65" spans="1:5" ht="18" customHeight="1">
      <c r="A65" s="208">
        <v>118</v>
      </c>
      <c r="B65" s="209">
        <v>9</v>
      </c>
      <c r="C65" s="232" t="s">
        <v>218</v>
      </c>
      <c r="D65" s="105" t="s">
        <v>540</v>
      </c>
      <c r="E65" s="174">
        <v>703</v>
      </c>
    </row>
    <row r="66" spans="1:5" ht="18" customHeight="1">
      <c r="A66" s="267"/>
      <c r="B66" s="267">
        <f>B65</f>
        <v>9</v>
      </c>
      <c r="C66" s="267"/>
      <c r="D66" s="267"/>
      <c r="E66" s="267">
        <f>E65</f>
        <v>703</v>
      </c>
    </row>
    <row r="67" spans="1:6" ht="17.25" customHeight="1">
      <c r="A67" s="318" t="s">
        <v>217</v>
      </c>
      <c r="B67" s="319"/>
      <c r="C67" s="320"/>
      <c r="D67" s="189"/>
      <c r="E67" s="192"/>
      <c r="F67" s="1">
        <f>B68+B69+B70+B71+B72+B74+B75</f>
        <v>162</v>
      </c>
    </row>
    <row r="68" spans="1:5" ht="17.25" customHeight="1">
      <c r="A68" s="111">
        <v>90</v>
      </c>
      <c r="B68" s="112">
        <v>27</v>
      </c>
      <c r="C68" s="112" t="s">
        <v>218</v>
      </c>
      <c r="D68" s="111" t="s">
        <v>219</v>
      </c>
      <c r="E68" s="112">
        <v>1301</v>
      </c>
    </row>
    <row r="69" spans="1:5" ht="17.25" customHeight="1">
      <c r="A69" s="111">
        <v>91</v>
      </c>
      <c r="B69" s="112">
        <v>25</v>
      </c>
      <c r="C69" s="112" t="s">
        <v>218</v>
      </c>
      <c r="D69" s="111" t="s">
        <v>220</v>
      </c>
      <c r="E69" s="112">
        <v>1214</v>
      </c>
    </row>
    <row r="70" spans="1:5" ht="17.25" customHeight="1">
      <c r="A70" s="111">
        <v>92</v>
      </c>
      <c r="B70" s="112">
        <v>14</v>
      </c>
      <c r="C70" s="112" t="s">
        <v>218</v>
      </c>
      <c r="D70" s="111" t="s">
        <v>221</v>
      </c>
      <c r="E70" s="112">
        <v>678</v>
      </c>
    </row>
    <row r="71" spans="1:5" ht="17.25" customHeight="1">
      <c r="A71" s="111">
        <v>93</v>
      </c>
      <c r="B71" s="112">
        <v>25</v>
      </c>
      <c r="C71" s="112" t="s">
        <v>218</v>
      </c>
      <c r="D71" s="111" t="s">
        <v>226</v>
      </c>
      <c r="E71" s="112">
        <v>1201</v>
      </c>
    </row>
    <row r="72" spans="1:5" ht="17.25" customHeight="1">
      <c r="A72" s="111">
        <v>94</v>
      </c>
      <c r="B72" s="112">
        <v>18</v>
      </c>
      <c r="C72" s="112" t="s">
        <v>218</v>
      </c>
      <c r="D72" s="111" t="s">
        <v>227</v>
      </c>
      <c r="E72" s="112">
        <v>835</v>
      </c>
    </row>
    <row r="73" spans="1:5" ht="72.75" customHeight="1">
      <c r="A73" s="111">
        <v>95</v>
      </c>
      <c r="B73" s="112">
        <v>20</v>
      </c>
      <c r="C73" s="124" t="s">
        <v>240</v>
      </c>
      <c r="D73" s="117" t="s">
        <v>256</v>
      </c>
      <c r="E73" s="116">
        <v>4276</v>
      </c>
    </row>
    <row r="74" spans="1:5" ht="17.25" customHeight="1">
      <c r="A74" s="111">
        <v>96</v>
      </c>
      <c r="B74" s="112">
        <v>27</v>
      </c>
      <c r="C74" s="113" t="s">
        <v>218</v>
      </c>
      <c r="D74" s="111" t="s">
        <v>257</v>
      </c>
      <c r="E74" s="116">
        <v>1303</v>
      </c>
    </row>
    <row r="75" spans="1:5" ht="17.25" customHeight="1">
      <c r="A75" s="111">
        <v>97</v>
      </c>
      <c r="B75" s="112">
        <v>26</v>
      </c>
      <c r="C75" s="113" t="s">
        <v>218</v>
      </c>
      <c r="D75" s="111" t="s">
        <v>258</v>
      </c>
      <c r="E75" s="116">
        <v>1209</v>
      </c>
    </row>
    <row r="76" spans="1:5" ht="17.25" customHeight="1">
      <c r="A76" s="191"/>
      <c r="B76" s="125">
        <f>SUM(B68:B75)</f>
        <v>182</v>
      </c>
      <c r="C76" s="125">
        <f>B76-20</f>
        <v>162</v>
      </c>
      <c r="D76" s="125"/>
      <c r="E76" s="125">
        <f>SUM(E68:E75)</f>
        <v>12017</v>
      </c>
    </row>
    <row r="77" spans="1:5" ht="17.25" customHeight="1">
      <c r="A77" s="189" t="s">
        <v>14</v>
      </c>
      <c r="B77" s="125">
        <f>B76+B66</f>
        <v>191</v>
      </c>
      <c r="C77" s="125"/>
      <c r="D77" s="125"/>
      <c r="E77" s="125">
        <f>E76+E66</f>
        <v>12720</v>
      </c>
    </row>
    <row r="78" spans="1:5" ht="17.25" customHeight="1">
      <c r="A78" s="192"/>
      <c r="B78" s="126"/>
      <c r="C78" s="126"/>
      <c r="D78" s="126"/>
      <c r="E78" s="126"/>
    </row>
    <row r="79" spans="1:5" ht="31.5" customHeight="1">
      <c r="A79" s="325" t="s">
        <v>678</v>
      </c>
      <c r="B79" s="326"/>
      <c r="C79" s="326"/>
      <c r="D79" s="326"/>
      <c r="E79" s="326"/>
    </row>
    <row r="80" spans="1:5" ht="24.75" customHeight="1">
      <c r="A80" s="40" t="s">
        <v>212</v>
      </c>
      <c r="B80" s="40" t="s">
        <v>213</v>
      </c>
      <c r="C80" s="40" t="s">
        <v>214</v>
      </c>
      <c r="D80" s="40" t="s">
        <v>215</v>
      </c>
      <c r="E80" s="39" t="s">
        <v>216</v>
      </c>
    </row>
    <row r="81" spans="1:5" ht="17.25" customHeight="1">
      <c r="A81" s="318" t="s">
        <v>223</v>
      </c>
      <c r="B81" s="319"/>
      <c r="C81" s="320"/>
      <c r="D81" s="40"/>
      <c r="E81" s="39"/>
    </row>
    <row r="82" spans="1:5" ht="17.25" customHeight="1">
      <c r="A82" s="40">
        <v>996</v>
      </c>
      <c r="B82" s="40">
        <v>3</v>
      </c>
      <c r="C82" s="40" t="s">
        <v>218</v>
      </c>
      <c r="D82" s="40" t="s">
        <v>284</v>
      </c>
      <c r="E82" s="105">
        <v>216</v>
      </c>
    </row>
    <row r="83" spans="1:5" ht="17.25" customHeight="1">
      <c r="A83" s="40">
        <v>997</v>
      </c>
      <c r="B83" s="40">
        <v>3</v>
      </c>
      <c r="C83" s="40" t="s">
        <v>237</v>
      </c>
      <c r="D83" s="40" t="s">
        <v>285</v>
      </c>
      <c r="E83" s="105">
        <v>304</v>
      </c>
    </row>
    <row r="84" spans="1:5" ht="17.25" customHeight="1">
      <c r="A84" s="191"/>
      <c r="B84" s="88">
        <f>SUM(B82:B83)</f>
        <v>6</v>
      </c>
      <c r="C84" s="88"/>
      <c r="D84" s="88"/>
      <c r="E84" s="88">
        <f>SUM(E82:E83)</f>
        <v>520</v>
      </c>
    </row>
    <row r="85" spans="1:5" ht="17.25" customHeight="1">
      <c r="A85" s="318" t="s">
        <v>217</v>
      </c>
      <c r="B85" s="319"/>
      <c r="C85" s="320"/>
      <c r="D85" s="34"/>
      <c r="E85" s="34"/>
    </row>
    <row r="86" spans="1:5" ht="17.25" customHeight="1">
      <c r="A86" s="70">
        <v>998</v>
      </c>
      <c r="B86" s="91">
        <v>3</v>
      </c>
      <c r="C86" s="70" t="s">
        <v>236</v>
      </c>
      <c r="D86" s="40" t="s">
        <v>239</v>
      </c>
      <c r="E86" s="106">
        <v>137</v>
      </c>
    </row>
    <row r="87" spans="1:5" ht="17.25" customHeight="1">
      <c r="A87" s="70">
        <v>999</v>
      </c>
      <c r="B87" s="91">
        <v>14</v>
      </c>
      <c r="C87" s="70" t="s">
        <v>218</v>
      </c>
      <c r="D87" s="40" t="s">
        <v>286</v>
      </c>
      <c r="E87" s="106">
        <v>1255</v>
      </c>
    </row>
    <row r="88" spans="1:5" ht="17.25" customHeight="1">
      <c r="A88" s="70">
        <v>1000</v>
      </c>
      <c r="B88" s="91">
        <v>7</v>
      </c>
      <c r="C88" s="70" t="s">
        <v>218</v>
      </c>
      <c r="D88" s="40" t="s">
        <v>287</v>
      </c>
      <c r="E88" s="106">
        <v>613</v>
      </c>
    </row>
    <row r="89" spans="1:5" ht="17.25" customHeight="1">
      <c r="A89" s="70">
        <v>1001</v>
      </c>
      <c r="B89" s="91">
        <v>1</v>
      </c>
      <c r="C89" s="70" t="s">
        <v>237</v>
      </c>
      <c r="D89" s="40" t="s">
        <v>238</v>
      </c>
      <c r="E89" s="106">
        <v>101</v>
      </c>
    </row>
    <row r="90" spans="1:5" ht="17.25" customHeight="1">
      <c r="A90" s="40"/>
      <c r="B90" s="189">
        <f>SUM(B86:B89)</f>
        <v>25</v>
      </c>
      <c r="C90" s="189"/>
      <c r="D90" s="189"/>
      <c r="E90" s="189">
        <f>SUM(E86:E89)</f>
        <v>2106</v>
      </c>
    </row>
    <row r="91" spans="1:5" ht="17.25" customHeight="1">
      <c r="A91" s="189" t="s">
        <v>14</v>
      </c>
      <c r="B91" s="125">
        <f>B84+B90</f>
        <v>31</v>
      </c>
      <c r="C91" s="125"/>
      <c r="D91" s="125"/>
      <c r="E91" s="125">
        <f>E84+E90</f>
        <v>2626</v>
      </c>
    </row>
    <row r="92" spans="1:5" ht="17.25" customHeight="1">
      <c r="A92" s="192"/>
      <c r="B92" s="126"/>
      <c r="C92" s="127"/>
      <c r="D92" s="125"/>
      <c r="E92" s="125"/>
    </row>
    <row r="93" spans="1:7" ht="27.75" customHeight="1">
      <c r="A93" s="325" t="s">
        <v>679</v>
      </c>
      <c r="B93" s="326"/>
      <c r="C93" s="326"/>
      <c r="D93" s="326"/>
      <c r="E93" s="326"/>
      <c r="F93" s="131"/>
      <c r="G93" s="131"/>
    </row>
    <row r="94" spans="1:7" ht="21.75" customHeight="1">
      <c r="A94" s="40" t="s">
        <v>212</v>
      </c>
      <c r="B94" s="40" t="s">
        <v>213</v>
      </c>
      <c r="C94" s="40" t="s">
        <v>214</v>
      </c>
      <c r="D94" s="40" t="s">
        <v>215</v>
      </c>
      <c r="E94" s="39" t="s">
        <v>216</v>
      </c>
      <c r="F94" s="131"/>
      <c r="G94" s="131"/>
    </row>
    <row r="95" spans="1:7" ht="17.25" customHeight="1">
      <c r="A95" s="318" t="s">
        <v>223</v>
      </c>
      <c r="B95" s="319"/>
      <c r="C95" s="320"/>
      <c r="D95" s="40"/>
      <c r="E95" s="39"/>
      <c r="F95" s="131"/>
      <c r="G95" s="131"/>
    </row>
    <row r="96" spans="1:7" ht="17.25" customHeight="1">
      <c r="A96" s="45">
        <v>431</v>
      </c>
      <c r="B96" s="45">
        <v>6</v>
      </c>
      <c r="C96" s="45" t="s">
        <v>228</v>
      </c>
      <c r="D96" s="45" t="s">
        <v>290</v>
      </c>
      <c r="E96" s="45">
        <v>696</v>
      </c>
      <c r="F96" s="131"/>
      <c r="G96" s="131"/>
    </row>
    <row r="97" spans="1:7" ht="17.25" customHeight="1">
      <c r="A97" s="45">
        <v>431</v>
      </c>
      <c r="B97" s="45">
        <v>2</v>
      </c>
      <c r="C97" s="45" t="s">
        <v>225</v>
      </c>
      <c r="D97" s="45" t="s">
        <v>291</v>
      </c>
      <c r="E97" s="45">
        <v>174</v>
      </c>
      <c r="F97" s="131"/>
      <c r="G97" s="131"/>
    </row>
    <row r="98" spans="1:7" ht="17.25" customHeight="1">
      <c r="A98" s="60">
        <v>434</v>
      </c>
      <c r="B98" s="60">
        <v>5</v>
      </c>
      <c r="C98" s="60" t="s">
        <v>228</v>
      </c>
      <c r="D98" s="91" t="s">
        <v>318</v>
      </c>
      <c r="E98" s="60">
        <v>540</v>
      </c>
      <c r="F98" s="131"/>
      <c r="G98" s="131"/>
    </row>
    <row r="99" spans="1:7" ht="17.25" customHeight="1">
      <c r="A99" s="60">
        <v>434</v>
      </c>
      <c r="B99" s="60">
        <v>1</v>
      </c>
      <c r="C99" s="60" t="s">
        <v>225</v>
      </c>
      <c r="D99" s="45" t="s">
        <v>319</v>
      </c>
      <c r="E99" s="60">
        <v>85</v>
      </c>
      <c r="F99" s="131"/>
      <c r="G99" s="131"/>
    </row>
    <row r="100" spans="1:7" ht="17.25" customHeight="1">
      <c r="A100" s="189"/>
      <c r="B100" s="189">
        <f>SUM(B96:B99)</f>
        <v>14</v>
      </c>
      <c r="C100" s="265"/>
      <c r="D100" s="265"/>
      <c r="E100" s="265">
        <f>SUM(E96:E99)</f>
        <v>1495</v>
      </c>
      <c r="F100" s="131"/>
      <c r="G100" s="131"/>
    </row>
    <row r="101" spans="1:7" ht="17.25" customHeight="1">
      <c r="A101" s="318" t="s">
        <v>217</v>
      </c>
      <c r="B101" s="319"/>
      <c r="C101" s="320"/>
      <c r="D101" s="189"/>
      <c r="E101" s="192"/>
      <c r="F101" s="131"/>
      <c r="G101" s="131"/>
    </row>
    <row r="102" spans="1:7" ht="17.25" customHeight="1">
      <c r="A102" s="45">
        <v>433</v>
      </c>
      <c r="B102" s="45">
        <v>2</v>
      </c>
      <c r="C102" s="108" t="s">
        <v>232</v>
      </c>
      <c r="D102" s="45" t="s">
        <v>292</v>
      </c>
      <c r="E102" s="45">
        <v>250</v>
      </c>
      <c r="F102" s="131"/>
      <c r="G102" s="131"/>
    </row>
    <row r="103" spans="1:7" ht="17.25" customHeight="1">
      <c r="A103" s="45">
        <v>432</v>
      </c>
      <c r="B103" s="45">
        <v>1</v>
      </c>
      <c r="C103" s="45" t="s">
        <v>228</v>
      </c>
      <c r="D103" s="45" t="s">
        <v>238</v>
      </c>
      <c r="E103" s="45">
        <v>90</v>
      </c>
      <c r="F103" s="131"/>
      <c r="G103" s="131"/>
    </row>
    <row r="104" spans="1:7" ht="17.25" customHeight="1">
      <c r="A104" s="45">
        <v>432</v>
      </c>
      <c r="B104" s="45">
        <v>1</v>
      </c>
      <c r="C104" s="108" t="s">
        <v>232</v>
      </c>
      <c r="D104" s="45" t="s">
        <v>238</v>
      </c>
      <c r="E104" s="45">
        <v>125</v>
      </c>
      <c r="F104" s="131"/>
      <c r="G104" s="131"/>
    </row>
    <row r="105" spans="1:7" ht="17.25" customHeight="1">
      <c r="A105" s="40">
        <v>436</v>
      </c>
      <c r="B105" s="178">
        <v>1</v>
      </c>
      <c r="C105" s="228" t="s">
        <v>232</v>
      </c>
      <c r="D105" s="178" t="s">
        <v>320</v>
      </c>
      <c r="E105" s="178">
        <v>124</v>
      </c>
      <c r="F105" s="131"/>
      <c r="G105" s="131"/>
    </row>
    <row r="106" spans="1:7" ht="17.25" customHeight="1">
      <c r="A106" s="60">
        <v>435</v>
      </c>
      <c r="B106" s="198">
        <v>1</v>
      </c>
      <c r="C106" s="198" t="s">
        <v>225</v>
      </c>
      <c r="D106" s="105" t="s">
        <v>316</v>
      </c>
      <c r="E106" s="199">
        <v>60</v>
      </c>
      <c r="F106" s="131"/>
      <c r="G106" s="131"/>
    </row>
    <row r="107" spans="1:7" ht="17.25" customHeight="1">
      <c r="A107" s="40">
        <v>435</v>
      </c>
      <c r="B107" s="178">
        <v>5</v>
      </c>
      <c r="C107" s="178" t="s">
        <v>228</v>
      </c>
      <c r="D107" s="105" t="s">
        <v>322</v>
      </c>
      <c r="E107" s="178">
        <v>450</v>
      </c>
      <c r="F107" s="131"/>
      <c r="G107" s="131"/>
    </row>
    <row r="108" spans="1:7" ht="17.25" customHeight="1">
      <c r="A108" s="40">
        <v>435</v>
      </c>
      <c r="B108" s="178">
        <v>2</v>
      </c>
      <c r="C108" s="228" t="s">
        <v>232</v>
      </c>
      <c r="D108" s="178" t="s">
        <v>321</v>
      </c>
      <c r="E108" s="178">
        <v>225</v>
      </c>
      <c r="F108" s="131"/>
      <c r="G108" s="131"/>
    </row>
    <row r="109" spans="1:7" ht="17.25" customHeight="1">
      <c r="A109" s="40"/>
      <c r="B109" s="189">
        <f>SUM(B102:B108)</f>
        <v>13</v>
      </c>
      <c r="C109" s="265"/>
      <c r="D109" s="265"/>
      <c r="E109" s="265">
        <f>SUM(E102:E108)</f>
        <v>1324</v>
      </c>
      <c r="F109" s="131"/>
      <c r="G109" s="131"/>
    </row>
    <row r="110" spans="1:7" ht="17.25" customHeight="1">
      <c r="A110" s="189" t="s">
        <v>14</v>
      </c>
      <c r="B110" s="125">
        <f>B100+B109</f>
        <v>27</v>
      </c>
      <c r="C110" s="125"/>
      <c r="D110" s="125"/>
      <c r="E110" s="125">
        <f>E100+E109</f>
        <v>2819</v>
      </c>
      <c r="F110" s="131"/>
      <c r="G110" s="131"/>
    </row>
    <row r="111" spans="1:7" ht="17.25" customHeight="1">
      <c r="A111" s="192"/>
      <c r="B111" s="126"/>
      <c r="C111" s="127"/>
      <c r="D111" s="125"/>
      <c r="E111" s="125"/>
      <c r="F111" s="131"/>
      <c r="G111" s="131"/>
    </row>
    <row r="112" spans="1:7" ht="27.75" customHeight="1">
      <c r="A112" s="325" t="s">
        <v>680</v>
      </c>
      <c r="B112" s="326"/>
      <c r="C112" s="326"/>
      <c r="D112" s="326"/>
      <c r="E112" s="326"/>
      <c r="F112" s="131"/>
      <c r="G112" s="131"/>
    </row>
    <row r="113" spans="1:7" ht="24.75" customHeight="1">
      <c r="A113" s="40" t="s">
        <v>212</v>
      </c>
      <c r="B113" s="40" t="s">
        <v>213</v>
      </c>
      <c r="C113" s="40" t="s">
        <v>214</v>
      </c>
      <c r="D113" s="40" t="s">
        <v>215</v>
      </c>
      <c r="E113" s="39" t="s">
        <v>216</v>
      </c>
      <c r="F113" s="131"/>
      <c r="G113" s="131"/>
    </row>
    <row r="114" spans="1:7" ht="17.25" customHeight="1">
      <c r="A114" s="318" t="s">
        <v>223</v>
      </c>
      <c r="B114" s="319"/>
      <c r="C114" s="320"/>
      <c r="D114" s="40"/>
      <c r="E114" s="39"/>
      <c r="F114" s="131"/>
      <c r="G114" s="131"/>
    </row>
    <row r="115" spans="1:7" ht="17.25" customHeight="1">
      <c r="A115" s="91">
        <v>1288</v>
      </c>
      <c r="B115" s="91">
        <v>2</v>
      </c>
      <c r="C115" s="91" t="s">
        <v>224</v>
      </c>
      <c r="D115" s="70" t="s">
        <v>295</v>
      </c>
      <c r="E115" s="91">
        <v>110</v>
      </c>
      <c r="F115" s="131"/>
      <c r="G115" s="131"/>
    </row>
    <row r="116" spans="1:7" ht="17.25" customHeight="1">
      <c r="A116" s="70">
        <v>1289</v>
      </c>
      <c r="B116" s="91">
        <v>8</v>
      </c>
      <c r="C116" s="91" t="s">
        <v>218</v>
      </c>
      <c r="D116" s="70" t="s">
        <v>296</v>
      </c>
      <c r="E116" s="70">
        <v>624</v>
      </c>
      <c r="F116" s="131"/>
      <c r="G116" s="131"/>
    </row>
    <row r="117" spans="1:7" ht="17.25" customHeight="1">
      <c r="A117" s="70">
        <v>1290</v>
      </c>
      <c r="B117" s="40">
        <v>4</v>
      </c>
      <c r="C117" s="40" t="s">
        <v>228</v>
      </c>
      <c r="D117" s="40" t="s">
        <v>297</v>
      </c>
      <c r="E117" s="40">
        <v>440</v>
      </c>
      <c r="F117" s="131"/>
      <c r="G117" s="131"/>
    </row>
    <row r="118" spans="1:7" ht="17.25" customHeight="1">
      <c r="A118" s="189"/>
      <c r="B118" s="189">
        <f>SUM(B115:B117)</f>
        <v>14</v>
      </c>
      <c r="C118" s="189"/>
      <c r="D118" s="189"/>
      <c r="E118" s="189">
        <f>SUM(E115:E117)</f>
        <v>1174</v>
      </c>
      <c r="F118" s="131"/>
      <c r="G118" s="131"/>
    </row>
    <row r="119" spans="1:7" ht="17.25" customHeight="1">
      <c r="A119" s="318" t="s">
        <v>217</v>
      </c>
      <c r="B119" s="319"/>
      <c r="C119" s="320"/>
      <c r="D119" s="189"/>
      <c r="E119" s="192"/>
      <c r="F119" s="131"/>
      <c r="G119" s="131"/>
    </row>
    <row r="120" spans="1:7" ht="17.25" customHeight="1">
      <c r="A120" s="136">
        <v>1292</v>
      </c>
      <c r="B120" s="60">
        <v>3</v>
      </c>
      <c r="C120" s="190" t="s">
        <v>240</v>
      </c>
      <c r="D120" s="40" t="s">
        <v>298</v>
      </c>
      <c r="E120" s="60">
        <v>636</v>
      </c>
      <c r="F120" s="131"/>
      <c r="G120" s="131"/>
    </row>
    <row r="121" spans="1:7" ht="17.25" customHeight="1">
      <c r="A121" s="135">
        <v>1293</v>
      </c>
      <c r="B121" s="91">
        <v>3</v>
      </c>
      <c r="C121" s="190" t="s">
        <v>243</v>
      </c>
      <c r="D121" s="40" t="s">
        <v>299</v>
      </c>
      <c r="E121" s="70">
        <v>830</v>
      </c>
      <c r="F121" s="131"/>
      <c r="G121" s="131"/>
    </row>
    <row r="122" spans="1:7" ht="17.25" customHeight="1">
      <c r="A122" s="136">
        <v>1291</v>
      </c>
      <c r="B122" s="60">
        <v>25</v>
      </c>
      <c r="C122" s="40" t="s">
        <v>218</v>
      </c>
      <c r="D122" s="40" t="s">
        <v>293</v>
      </c>
      <c r="E122" s="60">
        <v>1426</v>
      </c>
      <c r="F122" s="131"/>
      <c r="G122" s="131"/>
    </row>
    <row r="123" spans="1:7" ht="17.25" customHeight="1">
      <c r="A123" s="40"/>
      <c r="B123" s="189">
        <f>SUM(B120:B122)</f>
        <v>31</v>
      </c>
      <c r="C123" s="189"/>
      <c r="D123" s="189"/>
      <c r="E123" s="192">
        <f>SUM(E120:E122)</f>
        <v>2892</v>
      </c>
      <c r="F123" s="131"/>
      <c r="G123" s="131"/>
    </row>
    <row r="124" spans="1:7" ht="17.25" customHeight="1">
      <c r="A124" s="189" t="s">
        <v>14</v>
      </c>
      <c r="B124" s="125">
        <f>B118+B123</f>
        <v>45</v>
      </c>
      <c r="C124" s="125"/>
      <c r="D124" s="125"/>
      <c r="E124" s="125">
        <f>E118+E123</f>
        <v>4066</v>
      </c>
      <c r="F124" s="131"/>
      <c r="G124" s="131"/>
    </row>
    <row r="125" spans="1:7" ht="17.25" customHeight="1">
      <c r="A125" s="192"/>
      <c r="B125" s="126"/>
      <c r="C125" s="127"/>
      <c r="D125" s="125"/>
      <c r="E125" s="125"/>
      <c r="F125" s="131"/>
      <c r="G125" s="131"/>
    </row>
    <row r="126" spans="1:7" ht="27" customHeight="1">
      <c r="A126" s="325" t="s">
        <v>681</v>
      </c>
      <c r="B126" s="326"/>
      <c r="C126" s="326"/>
      <c r="D126" s="326"/>
      <c r="E126" s="326"/>
      <c r="F126" s="131"/>
      <c r="G126" s="131"/>
    </row>
    <row r="127" spans="1:7" ht="27" customHeight="1">
      <c r="A127" s="40" t="s">
        <v>212</v>
      </c>
      <c r="B127" s="40" t="s">
        <v>213</v>
      </c>
      <c r="C127" s="40" t="s">
        <v>214</v>
      </c>
      <c r="D127" s="40" t="s">
        <v>215</v>
      </c>
      <c r="E127" s="39" t="s">
        <v>216</v>
      </c>
      <c r="F127" s="131"/>
      <c r="G127" s="131"/>
    </row>
    <row r="128" spans="1:7" ht="17.25" customHeight="1">
      <c r="A128" s="318" t="s">
        <v>223</v>
      </c>
      <c r="B128" s="319"/>
      <c r="C128" s="320"/>
      <c r="D128" s="40"/>
      <c r="E128" s="39"/>
      <c r="F128" s="131"/>
      <c r="G128" s="131"/>
    </row>
    <row r="129" spans="1:7" ht="17.25" customHeight="1">
      <c r="A129" s="40">
        <v>1123</v>
      </c>
      <c r="B129" s="60">
        <v>4</v>
      </c>
      <c r="C129" s="60" t="s">
        <v>228</v>
      </c>
      <c r="D129" s="40" t="s">
        <v>309</v>
      </c>
      <c r="E129" s="40">
        <v>448</v>
      </c>
      <c r="F129" s="131"/>
      <c r="G129" s="131"/>
    </row>
    <row r="130" spans="1:7" ht="17.25" customHeight="1">
      <c r="A130" s="40">
        <v>1124</v>
      </c>
      <c r="B130" s="60">
        <v>2</v>
      </c>
      <c r="C130" s="60" t="s">
        <v>225</v>
      </c>
      <c r="D130" s="40" t="s">
        <v>310</v>
      </c>
      <c r="E130" s="40">
        <v>166</v>
      </c>
      <c r="F130" s="131"/>
      <c r="G130" s="131"/>
    </row>
    <row r="131" spans="1:7" ht="17.25" customHeight="1">
      <c r="A131" s="40"/>
      <c r="B131" s="189">
        <f>SUM(B129:B130)</f>
        <v>6</v>
      </c>
      <c r="C131" s="189"/>
      <c r="D131" s="189"/>
      <c r="E131" s="189">
        <f>SUM(E129:E130)</f>
        <v>614</v>
      </c>
      <c r="F131" s="131"/>
      <c r="G131" s="131"/>
    </row>
    <row r="132" spans="1:7" ht="17.25" customHeight="1">
      <c r="A132" s="318" t="s">
        <v>217</v>
      </c>
      <c r="B132" s="319"/>
      <c r="C132" s="320"/>
      <c r="D132" s="40"/>
      <c r="E132" s="39"/>
      <c r="F132" s="131"/>
      <c r="G132" s="131"/>
    </row>
    <row r="133" spans="1:7" ht="17.25" customHeight="1">
      <c r="A133" s="70">
        <v>1120</v>
      </c>
      <c r="B133" s="91">
        <v>19</v>
      </c>
      <c r="C133" s="91" t="s">
        <v>228</v>
      </c>
      <c r="D133" s="40" t="s">
        <v>311</v>
      </c>
      <c r="E133" s="70">
        <v>1957</v>
      </c>
      <c r="F133" s="131"/>
      <c r="G133" s="131"/>
    </row>
    <row r="134" spans="1:7" ht="17.25" customHeight="1">
      <c r="A134" s="40">
        <v>1121</v>
      </c>
      <c r="B134" s="40">
        <v>20</v>
      </c>
      <c r="C134" s="91" t="s">
        <v>225</v>
      </c>
      <c r="D134" s="64" t="s">
        <v>312</v>
      </c>
      <c r="E134" s="40">
        <v>1860</v>
      </c>
      <c r="F134" s="131"/>
      <c r="G134" s="131"/>
    </row>
    <row r="135" spans="1:7" ht="17.25" customHeight="1">
      <c r="A135" s="40">
        <v>1122</v>
      </c>
      <c r="B135" s="40">
        <v>12</v>
      </c>
      <c r="C135" s="91" t="s">
        <v>225</v>
      </c>
      <c r="D135" s="64" t="s">
        <v>313</v>
      </c>
      <c r="E135" s="40">
        <v>1134</v>
      </c>
      <c r="F135" s="131"/>
      <c r="G135" s="131"/>
    </row>
    <row r="136" spans="1:7" ht="17.25" customHeight="1">
      <c r="A136" s="40"/>
      <c r="B136" s="189">
        <f>SUM(B133:B135)</f>
        <v>51</v>
      </c>
      <c r="C136" s="189"/>
      <c r="D136" s="189"/>
      <c r="E136" s="192">
        <f>SUM(E133:E135)</f>
        <v>4951</v>
      </c>
      <c r="F136" s="131"/>
      <c r="G136" s="131"/>
    </row>
    <row r="137" spans="1:7" ht="17.25" customHeight="1">
      <c r="A137" s="189" t="s">
        <v>14</v>
      </c>
      <c r="B137" s="125">
        <f>B131+B136</f>
        <v>57</v>
      </c>
      <c r="C137" s="125"/>
      <c r="D137" s="125"/>
      <c r="E137" s="125">
        <f>E131+E136</f>
        <v>5565</v>
      </c>
      <c r="F137" s="131"/>
      <c r="G137" s="131"/>
    </row>
    <row r="138" spans="1:7" ht="17.25" customHeight="1">
      <c r="A138" s="192"/>
      <c r="B138" s="126"/>
      <c r="C138" s="127"/>
      <c r="D138" s="125"/>
      <c r="E138" s="125"/>
      <c r="F138" s="131"/>
      <c r="G138" s="131"/>
    </row>
    <row r="139" spans="1:7" ht="27" customHeight="1">
      <c r="A139" s="325" t="s">
        <v>682</v>
      </c>
      <c r="B139" s="326"/>
      <c r="C139" s="326"/>
      <c r="D139" s="326"/>
      <c r="E139" s="326"/>
      <c r="F139" s="131"/>
      <c r="G139" s="131"/>
    </row>
    <row r="140" spans="1:7" ht="23.25" customHeight="1">
      <c r="A140" s="40" t="s">
        <v>212</v>
      </c>
      <c r="B140" s="40" t="s">
        <v>213</v>
      </c>
      <c r="C140" s="40" t="s">
        <v>214</v>
      </c>
      <c r="D140" s="40" t="s">
        <v>215</v>
      </c>
      <c r="E140" s="39" t="s">
        <v>216</v>
      </c>
      <c r="F140" s="131"/>
      <c r="G140" s="131"/>
    </row>
    <row r="141" spans="1:7" ht="17.25" customHeight="1">
      <c r="A141" s="318" t="s">
        <v>223</v>
      </c>
      <c r="B141" s="319"/>
      <c r="C141" s="320"/>
      <c r="D141" s="40"/>
      <c r="E141" s="39"/>
      <c r="F141" s="131"/>
      <c r="G141" s="131"/>
    </row>
    <row r="142" spans="1:7" ht="17.25" customHeight="1">
      <c r="A142" s="40">
        <v>1002</v>
      </c>
      <c r="B142" s="40">
        <v>4</v>
      </c>
      <c r="C142" s="40" t="s">
        <v>237</v>
      </c>
      <c r="D142" s="40" t="s">
        <v>323</v>
      </c>
      <c r="E142" s="40">
        <v>426</v>
      </c>
      <c r="F142" s="131"/>
      <c r="G142" s="131"/>
    </row>
    <row r="143" spans="1:7" ht="17.25" customHeight="1">
      <c r="A143" s="40">
        <v>1006</v>
      </c>
      <c r="B143" s="40">
        <v>1</v>
      </c>
      <c r="C143" s="40" t="s">
        <v>218</v>
      </c>
      <c r="D143" s="40" t="s">
        <v>324</v>
      </c>
      <c r="E143" s="40">
        <v>72</v>
      </c>
      <c r="F143" s="131"/>
      <c r="G143" s="131"/>
    </row>
    <row r="144" spans="1:7" ht="17.25" customHeight="1">
      <c r="A144" s="40">
        <v>1007</v>
      </c>
      <c r="B144" s="40">
        <v>2</v>
      </c>
      <c r="C144" s="40" t="s">
        <v>237</v>
      </c>
      <c r="D144" s="40" t="s">
        <v>325</v>
      </c>
      <c r="E144" s="40">
        <v>213</v>
      </c>
      <c r="F144" s="131"/>
      <c r="G144" s="131"/>
    </row>
    <row r="145" spans="1:7" ht="17.25" customHeight="1">
      <c r="A145" s="40"/>
      <c r="B145" s="189">
        <f>SUM(B142:B144)</f>
        <v>7</v>
      </c>
      <c r="C145" s="189"/>
      <c r="D145" s="189"/>
      <c r="E145" s="189">
        <f>SUM(E142:E144)</f>
        <v>711</v>
      </c>
      <c r="F145" s="131"/>
      <c r="G145" s="131"/>
    </row>
    <row r="146" spans="1:7" ht="17.25" customHeight="1">
      <c r="A146" s="318" t="s">
        <v>217</v>
      </c>
      <c r="B146" s="319"/>
      <c r="C146" s="320"/>
      <c r="D146" s="40"/>
      <c r="E146" s="39"/>
      <c r="F146" s="131"/>
      <c r="G146" s="131"/>
    </row>
    <row r="147" spans="1:8" ht="17.25" customHeight="1">
      <c r="A147" s="70">
        <v>1003</v>
      </c>
      <c r="B147" s="91">
        <v>27</v>
      </c>
      <c r="C147" s="70" t="s">
        <v>218</v>
      </c>
      <c r="D147" s="40" t="s">
        <v>326</v>
      </c>
      <c r="E147" s="70">
        <v>2471</v>
      </c>
      <c r="F147" s="131"/>
      <c r="G147" s="138">
        <f>B147+B148+B150+B151</f>
        <v>41</v>
      </c>
      <c r="H147" s="99">
        <f>B147+B148+B150+B151</f>
        <v>41</v>
      </c>
    </row>
    <row r="148" spans="1:8" ht="17.25" customHeight="1">
      <c r="A148" s="70">
        <v>1004</v>
      </c>
      <c r="B148" s="91">
        <v>3</v>
      </c>
      <c r="C148" s="70" t="s">
        <v>218</v>
      </c>
      <c r="D148" s="40" t="s">
        <v>327</v>
      </c>
      <c r="E148" s="70">
        <v>264</v>
      </c>
      <c r="F148" s="131"/>
      <c r="G148" s="131"/>
      <c r="H148" s="99">
        <f>B149+B152</f>
        <v>2</v>
      </c>
    </row>
    <row r="149" spans="1:7" ht="17.25" customHeight="1">
      <c r="A149" s="70">
        <v>1005</v>
      </c>
      <c r="B149" s="91">
        <v>1</v>
      </c>
      <c r="C149" s="70" t="s">
        <v>228</v>
      </c>
      <c r="D149" s="40" t="s">
        <v>316</v>
      </c>
      <c r="E149" s="70">
        <v>100</v>
      </c>
      <c r="F149" s="131"/>
      <c r="G149" s="131"/>
    </row>
    <row r="150" spans="1:7" ht="17.25" customHeight="1">
      <c r="A150" s="70">
        <v>1009</v>
      </c>
      <c r="B150" s="91">
        <v>8</v>
      </c>
      <c r="C150" s="70" t="s">
        <v>218</v>
      </c>
      <c r="D150" s="40" t="s">
        <v>317</v>
      </c>
      <c r="E150" s="70">
        <v>734</v>
      </c>
      <c r="F150" s="131"/>
      <c r="G150" s="131"/>
    </row>
    <row r="151" spans="1:7" ht="17.25" customHeight="1">
      <c r="A151" s="70">
        <v>1010</v>
      </c>
      <c r="B151" s="91">
        <v>3</v>
      </c>
      <c r="C151" s="70" t="s">
        <v>218</v>
      </c>
      <c r="D151" s="40" t="s">
        <v>327</v>
      </c>
      <c r="E151" s="70">
        <v>254</v>
      </c>
      <c r="F151" s="131"/>
      <c r="G151" s="131"/>
    </row>
    <row r="152" spans="1:7" ht="17.25" customHeight="1">
      <c r="A152" s="70">
        <v>1011</v>
      </c>
      <c r="B152" s="91">
        <v>1</v>
      </c>
      <c r="C152" s="70" t="s">
        <v>237</v>
      </c>
      <c r="D152" s="40" t="s">
        <v>316</v>
      </c>
      <c r="E152" s="70">
        <v>100</v>
      </c>
      <c r="F152" s="131"/>
      <c r="G152" s="131"/>
    </row>
    <row r="153" spans="1:7" ht="17.25" customHeight="1">
      <c r="A153" s="40"/>
      <c r="B153" s="189">
        <f>SUM(B147:B152)</f>
        <v>43</v>
      </c>
      <c r="C153" s="189"/>
      <c r="D153" s="189"/>
      <c r="E153" s="192">
        <f>SUM(E147:E152)</f>
        <v>3923</v>
      </c>
      <c r="F153" s="131"/>
      <c r="G153" s="131"/>
    </row>
    <row r="154" spans="1:7" ht="17.25" customHeight="1">
      <c r="A154" s="318" t="s">
        <v>230</v>
      </c>
      <c r="B154" s="319"/>
      <c r="C154" s="320"/>
      <c r="D154" s="189"/>
      <c r="E154" s="192"/>
      <c r="F154" s="131"/>
      <c r="G154" s="131"/>
    </row>
    <row r="155" spans="1:7" ht="17.25" customHeight="1">
      <c r="A155" s="70">
        <v>1008</v>
      </c>
      <c r="B155" s="91">
        <v>1</v>
      </c>
      <c r="C155" s="70" t="s">
        <v>218</v>
      </c>
      <c r="D155" s="40" t="s">
        <v>316</v>
      </c>
      <c r="E155" s="70">
        <v>45</v>
      </c>
      <c r="F155" s="131"/>
      <c r="G155" s="131"/>
    </row>
    <row r="156" spans="1:7" ht="17.25" customHeight="1">
      <c r="A156" s="40"/>
      <c r="B156" s="189">
        <f>B155</f>
        <v>1</v>
      </c>
      <c r="C156" s="189"/>
      <c r="D156" s="189"/>
      <c r="E156" s="189">
        <f>E155</f>
        <v>45</v>
      </c>
      <c r="F156" s="131"/>
      <c r="G156" s="131"/>
    </row>
    <row r="157" spans="1:7" ht="17.25" customHeight="1">
      <c r="A157" s="189" t="s">
        <v>14</v>
      </c>
      <c r="B157" s="125">
        <f>B145+B153+B156</f>
        <v>51</v>
      </c>
      <c r="C157" s="125"/>
      <c r="D157" s="125"/>
      <c r="E157" s="125">
        <f>E145+E153+E156</f>
        <v>4679</v>
      </c>
      <c r="F157" s="131"/>
      <c r="G157" s="131"/>
    </row>
    <row r="158" spans="1:7" ht="17.25" customHeight="1">
      <c r="A158" s="192"/>
      <c r="B158" s="126"/>
      <c r="C158" s="127"/>
      <c r="D158" s="125"/>
      <c r="E158" s="125"/>
      <c r="F158" s="131"/>
      <c r="G158" s="131"/>
    </row>
    <row r="159" spans="1:7" ht="34.5" customHeight="1">
      <c r="A159" s="325" t="s">
        <v>683</v>
      </c>
      <c r="B159" s="326"/>
      <c r="C159" s="326"/>
      <c r="D159" s="326"/>
      <c r="E159" s="326"/>
      <c r="F159" s="131"/>
      <c r="G159" s="131"/>
    </row>
    <row r="160" spans="1:7" ht="26.25" customHeight="1">
      <c r="A160" s="40" t="s">
        <v>212</v>
      </c>
      <c r="B160" s="40" t="s">
        <v>213</v>
      </c>
      <c r="C160" s="40" t="s">
        <v>214</v>
      </c>
      <c r="D160" s="40" t="s">
        <v>215</v>
      </c>
      <c r="E160" s="39" t="s">
        <v>216</v>
      </c>
      <c r="F160" s="131"/>
      <c r="G160" s="131"/>
    </row>
    <row r="161" spans="1:7" ht="17.25" customHeight="1">
      <c r="A161" s="318" t="s">
        <v>223</v>
      </c>
      <c r="B161" s="319"/>
      <c r="C161" s="320"/>
      <c r="D161" s="40"/>
      <c r="E161" s="39"/>
      <c r="F161" s="131"/>
      <c r="G161" s="131"/>
    </row>
    <row r="162" spans="1:7" ht="18" customHeight="1">
      <c r="A162" s="40">
        <v>1012</v>
      </c>
      <c r="B162" s="174">
        <v>1</v>
      </c>
      <c r="C162" s="174" t="s">
        <v>236</v>
      </c>
      <c r="D162" s="174" t="s">
        <v>260</v>
      </c>
      <c r="E162" s="105">
        <v>56</v>
      </c>
      <c r="F162" s="131"/>
      <c r="G162" s="131"/>
    </row>
    <row r="163" spans="1:7" ht="17.25" customHeight="1">
      <c r="A163" s="200">
        <v>1013</v>
      </c>
      <c r="B163" s="175">
        <v>1</v>
      </c>
      <c r="C163" s="175" t="s">
        <v>218</v>
      </c>
      <c r="D163" s="40" t="s">
        <v>346</v>
      </c>
      <c r="E163" s="175">
        <v>72</v>
      </c>
      <c r="F163" s="131"/>
      <c r="G163" s="131"/>
    </row>
    <row r="164" spans="1:7" ht="17.25" customHeight="1">
      <c r="A164" s="200">
        <v>1014</v>
      </c>
      <c r="B164" s="175">
        <v>5</v>
      </c>
      <c r="C164" s="175" t="s">
        <v>237</v>
      </c>
      <c r="D164" s="40" t="s">
        <v>347</v>
      </c>
      <c r="E164" s="175">
        <v>528</v>
      </c>
      <c r="F164" s="131"/>
      <c r="G164" s="131"/>
    </row>
    <row r="165" spans="1:7" ht="17.25" customHeight="1">
      <c r="A165" s="40"/>
      <c r="B165" s="189">
        <f>SUM(B162:B164)</f>
        <v>7</v>
      </c>
      <c r="C165" s="189"/>
      <c r="D165" s="189"/>
      <c r="E165" s="189">
        <f>SUM(E162:E164)</f>
        <v>656</v>
      </c>
      <c r="F165" s="131"/>
      <c r="G165" s="131"/>
    </row>
    <row r="166" spans="1:7" ht="17.25" customHeight="1">
      <c r="A166" s="318" t="s">
        <v>217</v>
      </c>
      <c r="B166" s="319"/>
      <c r="C166" s="320"/>
      <c r="D166" s="40"/>
      <c r="E166" s="39"/>
      <c r="F166" s="131"/>
      <c r="G166" s="131"/>
    </row>
    <row r="167" spans="1:7" ht="17.25" customHeight="1">
      <c r="A167" s="40">
        <v>1020</v>
      </c>
      <c r="B167" s="60">
        <v>10</v>
      </c>
      <c r="C167" s="190" t="s">
        <v>349</v>
      </c>
      <c r="D167" s="60" t="s">
        <v>350</v>
      </c>
      <c r="E167" s="60">
        <v>1765</v>
      </c>
      <c r="F167" s="131"/>
      <c r="G167" s="131"/>
    </row>
    <row r="168" spans="1:7" ht="17.25" customHeight="1">
      <c r="A168" s="70">
        <v>1016</v>
      </c>
      <c r="B168" s="91">
        <v>2</v>
      </c>
      <c r="C168" s="70" t="s">
        <v>236</v>
      </c>
      <c r="D168" s="105" t="s">
        <v>289</v>
      </c>
      <c r="E168" s="106">
        <v>84</v>
      </c>
      <c r="F168" s="131"/>
      <c r="G168" s="131"/>
    </row>
    <row r="169" spans="1:7" ht="17.25" customHeight="1">
      <c r="A169" s="70">
        <v>1017</v>
      </c>
      <c r="B169" s="91">
        <v>19</v>
      </c>
      <c r="C169" s="70" t="s">
        <v>218</v>
      </c>
      <c r="D169" s="105" t="s">
        <v>348</v>
      </c>
      <c r="E169" s="106">
        <v>1705</v>
      </c>
      <c r="F169" s="131"/>
      <c r="G169" s="131"/>
    </row>
    <row r="170" spans="1:7" ht="17.25" customHeight="1">
      <c r="A170" s="70">
        <v>1018</v>
      </c>
      <c r="B170" s="91">
        <v>3</v>
      </c>
      <c r="C170" s="70" t="s">
        <v>218</v>
      </c>
      <c r="D170" s="105" t="s">
        <v>239</v>
      </c>
      <c r="E170" s="106">
        <v>254</v>
      </c>
      <c r="F170" s="131"/>
      <c r="G170" s="131"/>
    </row>
    <row r="171" spans="1:7" ht="17.25" customHeight="1">
      <c r="A171" s="70">
        <v>1019</v>
      </c>
      <c r="B171" s="91">
        <v>1</v>
      </c>
      <c r="C171" s="70" t="s">
        <v>237</v>
      </c>
      <c r="D171" s="105" t="s">
        <v>238</v>
      </c>
      <c r="E171" s="106">
        <v>100</v>
      </c>
      <c r="F171" s="131"/>
      <c r="G171" s="131"/>
    </row>
    <row r="172" spans="1:7" ht="17.25" customHeight="1">
      <c r="A172" s="40"/>
      <c r="B172" s="189">
        <f>SUM(B167:B171)</f>
        <v>35</v>
      </c>
      <c r="C172" s="189"/>
      <c r="D172" s="189"/>
      <c r="E172" s="189">
        <f>SUM(E167:E171)</f>
        <v>3908</v>
      </c>
      <c r="F172" s="131"/>
      <c r="G172" s="131"/>
    </row>
    <row r="173" spans="1:7" ht="17.25" customHeight="1">
      <c r="A173" s="318" t="s">
        <v>230</v>
      </c>
      <c r="B173" s="319"/>
      <c r="C173" s="320"/>
      <c r="D173" s="154"/>
      <c r="E173" s="189"/>
      <c r="F173" s="131"/>
      <c r="G173" s="131"/>
    </row>
    <row r="174" spans="1:7" ht="17.25" customHeight="1">
      <c r="A174" s="70">
        <v>1015</v>
      </c>
      <c r="B174" s="91">
        <v>1</v>
      </c>
      <c r="C174" s="70" t="s">
        <v>218</v>
      </c>
      <c r="D174" s="105" t="s">
        <v>238</v>
      </c>
      <c r="E174" s="106">
        <v>45</v>
      </c>
      <c r="F174" s="131"/>
      <c r="G174" s="131"/>
    </row>
    <row r="175" spans="1:7" ht="17.25" customHeight="1">
      <c r="A175" s="40"/>
      <c r="B175" s="189">
        <f>B174</f>
        <v>1</v>
      </c>
      <c r="C175" s="189"/>
      <c r="D175" s="189"/>
      <c r="E175" s="189">
        <f>E174</f>
        <v>45</v>
      </c>
      <c r="F175" s="131"/>
      <c r="G175" s="131"/>
    </row>
    <row r="176" spans="1:7" ht="17.25" customHeight="1">
      <c r="A176" s="189" t="s">
        <v>14</v>
      </c>
      <c r="B176" s="125">
        <f>B165+B172+B175</f>
        <v>43</v>
      </c>
      <c r="C176" s="125"/>
      <c r="D176" s="125"/>
      <c r="E176" s="125">
        <f>E165+E172+E175</f>
        <v>4609</v>
      </c>
      <c r="F176" s="131"/>
      <c r="G176" s="131"/>
    </row>
    <row r="177" spans="1:7" ht="17.25" customHeight="1">
      <c r="A177" s="192"/>
      <c r="B177" s="126"/>
      <c r="C177" s="127"/>
      <c r="D177" s="125"/>
      <c r="E177" s="125"/>
      <c r="F177" s="131"/>
      <c r="G177" s="131"/>
    </row>
    <row r="178" spans="1:7" ht="26.25" customHeight="1">
      <c r="A178" s="325" t="s">
        <v>684</v>
      </c>
      <c r="B178" s="326"/>
      <c r="C178" s="326"/>
      <c r="D178" s="326"/>
      <c r="E178" s="326"/>
      <c r="F178" s="131"/>
      <c r="G178" s="131"/>
    </row>
    <row r="179" spans="1:7" ht="29.25" customHeight="1">
      <c r="A179" s="40" t="s">
        <v>212</v>
      </c>
      <c r="B179" s="40" t="s">
        <v>213</v>
      </c>
      <c r="C179" s="40" t="s">
        <v>214</v>
      </c>
      <c r="D179" s="40" t="s">
        <v>215</v>
      </c>
      <c r="E179" s="39" t="s">
        <v>216</v>
      </c>
      <c r="F179" s="131"/>
      <c r="G179" s="131"/>
    </row>
    <row r="180" spans="1:7" ht="19.5" customHeight="1">
      <c r="A180" s="318" t="s">
        <v>223</v>
      </c>
      <c r="B180" s="319"/>
      <c r="C180" s="320"/>
      <c r="D180" s="40"/>
      <c r="E180" s="39"/>
      <c r="F180" s="131"/>
      <c r="G180" s="131"/>
    </row>
    <row r="181" spans="1:7" ht="27.75">
      <c r="A181" s="40">
        <v>1021</v>
      </c>
      <c r="B181" s="174">
        <v>11</v>
      </c>
      <c r="C181" s="175" t="s">
        <v>237</v>
      </c>
      <c r="D181" s="40" t="s">
        <v>357</v>
      </c>
      <c r="E181" s="175">
        <v>1147</v>
      </c>
      <c r="F181" s="131"/>
      <c r="G181" s="131"/>
    </row>
    <row r="182" spans="1:7" ht="17.25" customHeight="1">
      <c r="A182" s="40"/>
      <c r="B182" s="189">
        <f>SUM(B181:B181)</f>
        <v>11</v>
      </c>
      <c r="C182" s="189"/>
      <c r="D182" s="189"/>
      <c r="E182" s="189">
        <f>SUM(E181:E181)</f>
        <v>1147</v>
      </c>
      <c r="F182" s="131"/>
      <c r="G182" s="131"/>
    </row>
    <row r="183" spans="1:7" ht="17.25" customHeight="1">
      <c r="A183" s="318" t="s">
        <v>217</v>
      </c>
      <c r="B183" s="319"/>
      <c r="C183" s="320"/>
      <c r="D183" s="40"/>
      <c r="E183" s="39"/>
      <c r="F183" s="131"/>
      <c r="G183" s="131"/>
    </row>
    <row r="184" spans="1:7" ht="21" customHeight="1">
      <c r="A184" s="70">
        <v>1022</v>
      </c>
      <c r="B184" s="91">
        <v>25</v>
      </c>
      <c r="C184" s="176" t="s">
        <v>362</v>
      </c>
      <c r="D184" s="105" t="s">
        <v>358</v>
      </c>
      <c r="E184" s="106">
        <v>2568</v>
      </c>
      <c r="F184" s="131"/>
      <c r="G184" s="131"/>
    </row>
    <row r="185" spans="1:7" ht="28.5" customHeight="1">
      <c r="A185" s="70">
        <v>1023</v>
      </c>
      <c r="B185" s="91">
        <v>25</v>
      </c>
      <c r="C185" s="176" t="s">
        <v>232</v>
      </c>
      <c r="D185" s="105" t="s">
        <v>359</v>
      </c>
      <c r="E185" s="106">
        <v>2601</v>
      </c>
      <c r="F185" s="131"/>
      <c r="G185" s="131"/>
    </row>
    <row r="186" spans="1:7" ht="21" customHeight="1">
      <c r="A186" s="70">
        <v>1024</v>
      </c>
      <c r="B186" s="91">
        <v>20</v>
      </c>
      <c r="C186" s="176" t="s">
        <v>363</v>
      </c>
      <c r="D186" s="105" t="s">
        <v>360</v>
      </c>
      <c r="E186" s="106">
        <v>3542</v>
      </c>
      <c r="F186" s="131"/>
      <c r="G186" s="131"/>
    </row>
    <row r="187" spans="1:7" ht="21" customHeight="1">
      <c r="A187" s="40">
        <v>1025</v>
      </c>
      <c r="B187" s="60">
        <v>30</v>
      </c>
      <c r="C187" s="190" t="s">
        <v>364</v>
      </c>
      <c r="D187" s="105" t="s">
        <v>361</v>
      </c>
      <c r="E187" s="105">
        <v>7261</v>
      </c>
      <c r="F187" s="131"/>
      <c r="G187" s="131"/>
    </row>
    <row r="188" spans="1:7" ht="22.5" customHeight="1">
      <c r="A188" s="70">
        <v>1027</v>
      </c>
      <c r="B188" s="91">
        <v>1</v>
      </c>
      <c r="C188" s="70" t="s">
        <v>236</v>
      </c>
      <c r="D188" s="105" t="s">
        <v>238</v>
      </c>
      <c r="E188" s="106">
        <v>36</v>
      </c>
      <c r="F188" s="131"/>
      <c r="G188" s="131"/>
    </row>
    <row r="189" spans="1:7" ht="22.5" customHeight="1">
      <c r="A189" s="70">
        <v>1028</v>
      </c>
      <c r="B189" s="91">
        <v>22</v>
      </c>
      <c r="C189" s="70" t="s">
        <v>218</v>
      </c>
      <c r="D189" s="105" t="s">
        <v>365</v>
      </c>
      <c r="E189" s="106">
        <v>1976</v>
      </c>
      <c r="F189" s="131"/>
      <c r="G189" s="131"/>
    </row>
    <row r="190" spans="1:7" ht="22.5" customHeight="1">
      <c r="A190" s="70">
        <v>1029</v>
      </c>
      <c r="B190" s="91">
        <v>11</v>
      </c>
      <c r="C190" s="70" t="s">
        <v>218</v>
      </c>
      <c r="D190" s="105" t="s">
        <v>366</v>
      </c>
      <c r="E190" s="106">
        <v>926</v>
      </c>
      <c r="F190" s="131"/>
      <c r="G190" s="131"/>
    </row>
    <row r="191" spans="1:7" ht="22.5" customHeight="1">
      <c r="A191" s="70">
        <v>1030</v>
      </c>
      <c r="B191" s="91">
        <v>3</v>
      </c>
      <c r="C191" s="70" t="s">
        <v>237</v>
      </c>
      <c r="D191" s="105" t="s">
        <v>239</v>
      </c>
      <c r="E191" s="106">
        <v>300</v>
      </c>
      <c r="F191" s="131"/>
      <c r="G191" s="131"/>
    </row>
    <row r="192" spans="1:7" ht="17.25" customHeight="1">
      <c r="A192" s="40"/>
      <c r="B192" s="189">
        <f>SUM(B184:B191)</f>
        <v>137</v>
      </c>
      <c r="C192" s="189"/>
      <c r="D192" s="189"/>
      <c r="E192" s="189">
        <f>SUM(E184:E191)</f>
        <v>19210</v>
      </c>
      <c r="F192" s="131"/>
      <c r="G192" s="131"/>
    </row>
    <row r="193" spans="1:7" ht="17.25" customHeight="1">
      <c r="A193" s="318" t="s">
        <v>230</v>
      </c>
      <c r="B193" s="319"/>
      <c r="C193" s="320"/>
      <c r="D193" s="189"/>
      <c r="E193" s="189"/>
      <c r="F193" s="131"/>
      <c r="G193" s="131"/>
    </row>
    <row r="194" spans="1:7" ht="16.5" customHeight="1">
      <c r="A194" s="70">
        <v>1026</v>
      </c>
      <c r="B194" s="91">
        <v>1</v>
      </c>
      <c r="C194" s="70" t="s">
        <v>218</v>
      </c>
      <c r="D194" s="105" t="s">
        <v>238</v>
      </c>
      <c r="E194" s="106">
        <v>45</v>
      </c>
      <c r="F194" s="131"/>
      <c r="G194" s="131"/>
    </row>
    <row r="195" spans="1:7" ht="17.25" customHeight="1">
      <c r="A195" s="40"/>
      <c r="B195" s="189">
        <f>B194</f>
        <v>1</v>
      </c>
      <c r="C195" s="189"/>
      <c r="D195" s="189"/>
      <c r="E195" s="189">
        <f>E194</f>
        <v>45</v>
      </c>
      <c r="F195" s="131"/>
      <c r="G195" s="131"/>
    </row>
    <row r="196" spans="1:7" ht="17.25" customHeight="1">
      <c r="A196" s="189" t="s">
        <v>14</v>
      </c>
      <c r="B196" s="125">
        <f>B182+B192+B195</f>
        <v>149</v>
      </c>
      <c r="C196" s="125"/>
      <c r="D196" s="125"/>
      <c r="E196" s="125">
        <f>E182+E192+E195</f>
        <v>20402</v>
      </c>
      <c r="F196" s="131"/>
      <c r="G196" s="131"/>
    </row>
    <row r="197" spans="1:7" ht="17.25" customHeight="1">
      <c r="A197" s="192"/>
      <c r="B197" s="126"/>
      <c r="C197" s="127"/>
      <c r="D197" s="125"/>
      <c r="E197" s="125"/>
      <c r="F197" s="131"/>
      <c r="G197" s="131"/>
    </row>
    <row r="198" spans="1:7" ht="28.5" customHeight="1">
      <c r="A198" s="325" t="s">
        <v>685</v>
      </c>
      <c r="B198" s="326"/>
      <c r="C198" s="326"/>
      <c r="D198" s="326"/>
      <c r="E198" s="326"/>
      <c r="F198" s="131"/>
      <c r="G198" s="131"/>
    </row>
    <row r="199" spans="1:7" ht="24" customHeight="1">
      <c r="A199" s="40" t="s">
        <v>212</v>
      </c>
      <c r="B199" s="40" t="s">
        <v>213</v>
      </c>
      <c r="C199" s="40" t="s">
        <v>214</v>
      </c>
      <c r="D199" s="40" t="s">
        <v>215</v>
      </c>
      <c r="E199" s="39" t="s">
        <v>216</v>
      </c>
      <c r="F199" s="131"/>
      <c r="G199" s="131"/>
    </row>
    <row r="200" spans="1:7" ht="17.25" customHeight="1">
      <c r="A200" s="318" t="s">
        <v>223</v>
      </c>
      <c r="B200" s="319"/>
      <c r="C200" s="320"/>
      <c r="D200" s="40"/>
      <c r="E200" s="39"/>
      <c r="F200" s="131"/>
      <c r="G200" s="131"/>
    </row>
    <row r="201" spans="1:7" ht="30.75" customHeight="1">
      <c r="A201" s="70">
        <v>205</v>
      </c>
      <c r="B201" s="91">
        <v>17</v>
      </c>
      <c r="C201" s="91" t="s">
        <v>224</v>
      </c>
      <c r="D201" s="70" t="s">
        <v>367</v>
      </c>
      <c r="E201" s="106">
        <v>1056</v>
      </c>
      <c r="F201" s="131"/>
      <c r="G201" s="131"/>
    </row>
    <row r="202" spans="1:7" ht="17.25" customHeight="1">
      <c r="A202" s="40">
        <v>206</v>
      </c>
      <c r="B202" s="105">
        <v>8</v>
      </c>
      <c r="C202" s="105" t="s">
        <v>225</v>
      </c>
      <c r="D202" s="105" t="s">
        <v>368</v>
      </c>
      <c r="E202" s="105">
        <v>643</v>
      </c>
      <c r="F202" s="131"/>
      <c r="G202" s="131"/>
    </row>
    <row r="203" spans="1:7" ht="17.25" customHeight="1">
      <c r="A203" s="40"/>
      <c r="B203" s="189">
        <f>SUM(B201:B202)</f>
        <v>25</v>
      </c>
      <c r="C203" s="189"/>
      <c r="D203" s="189"/>
      <c r="E203" s="189">
        <f>SUM(E201:E202)</f>
        <v>1699</v>
      </c>
      <c r="F203" s="131"/>
      <c r="G203" s="131"/>
    </row>
    <row r="204" spans="1:7" ht="17.25" customHeight="1">
      <c r="A204" s="318" t="s">
        <v>217</v>
      </c>
      <c r="B204" s="319"/>
      <c r="C204" s="320"/>
      <c r="D204" s="40"/>
      <c r="E204" s="39"/>
      <c r="F204" s="131"/>
      <c r="G204" s="131"/>
    </row>
    <row r="205" spans="1:7" ht="17.25" customHeight="1">
      <c r="A205" s="40">
        <v>207</v>
      </c>
      <c r="B205" s="60">
        <v>15</v>
      </c>
      <c r="C205" s="40" t="s">
        <v>224</v>
      </c>
      <c r="D205" s="60" t="s">
        <v>369</v>
      </c>
      <c r="E205" s="40">
        <v>772</v>
      </c>
      <c r="F205" s="131"/>
      <c r="G205" s="131">
        <f>B205+B210</f>
        <v>18</v>
      </c>
    </row>
    <row r="206" spans="1:7" ht="17.25" customHeight="1">
      <c r="A206" s="40">
        <v>208</v>
      </c>
      <c r="B206" s="40">
        <v>2</v>
      </c>
      <c r="C206" s="40" t="s">
        <v>225</v>
      </c>
      <c r="D206" s="40" t="s">
        <v>370</v>
      </c>
      <c r="E206" s="40">
        <v>143</v>
      </c>
      <c r="F206" s="131"/>
      <c r="G206" s="131">
        <f>B206+B211</f>
        <v>5</v>
      </c>
    </row>
    <row r="207" spans="1:7" ht="17.25" customHeight="1">
      <c r="A207" s="40">
        <v>211</v>
      </c>
      <c r="B207" s="40">
        <v>2</v>
      </c>
      <c r="C207" s="190" t="s">
        <v>232</v>
      </c>
      <c r="D207" s="40" t="s">
        <v>371</v>
      </c>
      <c r="E207" s="40">
        <v>248</v>
      </c>
      <c r="F207" s="131"/>
      <c r="G207" s="131"/>
    </row>
    <row r="208" spans="1:7" ht="17.25" customHeight="1">
      <c r="A208" s="40">
        <v>212</v>
      </c>
      <c r="B208" s="40">
        <v>4</v>
      </c>
      <c r="C208" s="190" t="s">
        <v>240</v>
      </c>
      <c r="D208" s="40" t="s">
        <v>372</v>
      </c>
      <c r="E208" s="40">
        <v>800</v>
      </c>
      <c r="F208" s="131"/>
      <c r="G208" s="131"/>
    </row>
    <row r="209" spans="1:7" ht="17.25" customHeight="1">
      <c r="A209" s="40">
        <v>214</v>
      </c>
      <c r="B209" s="40">
        <v>2</v>
      </c>
      <c r="C209" s="190" t="s">
        <v>243</v>
      </c>
      <c r="D209" s="40" t="s">
        <v>373</v>
      </c>
      <c r="E209" s="40">
        <v>585</v>
      </c>
      <c r="F209" s="131"/>
      <c r="G209" s="131"/>
    </row>
    <row r="210" spans="1:7" ht="17.25" customHeight="1">
      <c r="A210" s="40">
        <v>215</v>
      </c>
      <c r="B210" s="40">
        <v>3</v>
      </c>
      <c r="C210" s="40" t="s">
        <v>224</v>
      </c>
      <c r="D210" s="40" t="s">
        <v>379</v>
      </c>
      <c r="E210" s="40">
        <v>162</v>
      </c>
      <c r="F210" s="131"/>
      <c r="G210" s="131"/>
    </row>
    <row r="211" spans="1:7" ht="17.25" customHeight="1">
      <c r="A211" s="40">
        <v>216</v>
      </c>
      <c r="B211" s="40">
        <v>3</v>
      </c>
      <c r="C211" s="40" t="s">
        <v>225</v>
      </c>
      <c r="D211" s="40" t="s">
        <v>380</v>
      </c>
      <c r="E211" s="40">
        <v>200</v>
      </c>
      <c r="F211" s="131"/>
      <c r="G211" s="131"/>
    </row>
    <row r="212" spans="1:7" ht="25.5" customHeight="1">
      <c r="A212" s="40">
        <v>213</v>
      </c>
      <c r="B212" s="40">
        <v>3</v>
      </c>
      <c r="C212" s="190" t="s">
        <v>374</v>
      </c>
      <c r="D212" s="40" t="s">
        <v>375</v>
      </c>
      <c r="E212" s="40">
        <v>580</v>
      </c>
      <c r="F212" s="131"/>
      <c r="G212" s="131"/>
    </row>
    <row r="213" spans="1:7" ht="17.25" customHeight="1">
      <c r="A213" s="40"/>
      <c r="B213" s="189">
        <f>SUM(B205:B212)</f>
        <v>34</v>
      </c>
      <c r="C213" s="189"/>
      <c r="D213" s="189"/>
      <c r="E213" s="189">
        <f>SUM(E205:E212)</f>
        <v>3490</v>
      </c>
      <c r="F213" s="131"/>
      <c r="G213" s="131"/>
    </row>
    <row r="214" spans="1:7" ht="17.25" customHeight="1">
      <c r="A214" s="318" t="s">
        <v>229</v>
      </c>
      <c r="B214" s="319"/>
      <c r="C214" s="320"/>
      <c r="D214" s="189"/>
      <c r="E214" s="189"/>
      <c r="F214" s="131"/>
      <c r="G214" s="131"/>
    </row>
    <row r="215" spans="1:7" ht="17.25" customHeight="1">
      <c r="A215" s="40">
        <v>209</v>
      </c>
      <c r="B215" s="60">
        <v>5</v>
      </c>
      <c r="C215" s="60" t="s">
        <v>225</v>
      </c>
      <c r="D215" s="60" t="s">
        <v>377</v>
      </c>
      <c r="E215" s="40">
        <v>281</v>
      </c>
      <c r="F215" s="131"/>
      <c r="G215" s="131"/>
    </row>
    <row r="216" spans="1:7" ht="17.25" customHeight="1">
      <c r="A216" s="40"/>
      <c r="B216" s="189">
        <f>B215</f>
        <v>5</v>
      </c>
      <c r="C216" s="189"/>
      <c r="D216" s="189"/>
      <c r="E216" s="189">
        <f>E215</f>
        <v>281</v>
      </c>
      <c r="F216" s="131"/>
      <c r="G216" s="131"/>
    </row>
    <row r="217" spans="1:7" ht="17.25" customHeight="1">
      <c r="A217" s="318" t="s">
        <v>230</v>
      </c>
      <c r="B217" s="319"/>
      <c r="C217" s="320"/>
      <c r="D217" s="189"/>
      <c r="E217" s="189"/>
      <c r="F217" s="131"/>
      <c r="G217" s="131"/>
    </row>
    <row r="218" spans="1:7" ht="17.25" customHeight="1">
      <c r="A218" s="40">
        <v>210</v>
      </c>
      <c r="B218" s="40">
        <v>1</v>
      </c>
      <c r="C218" s="40" t="s">
        <v>225</v>
      </c>
      <c r="D218" s="40" t="s">
        <v>376</v>
      </c>
      <c r="E218" s="40">
        <v>56</v>
      </c>
      <c r="F218" s="131"/>
      <c r="G218" s="131"/>
    </row>
    <row r="219" spans="1:7" ht="17.25" customHeight="1">
      <c r="A219" s="40"/>
      <c r="B219" s="189">
        <f>B218</f>
        <v>1</v>
      </c>
      <c r="C219" s="189"/>
      <c r="D219" s="189"/>
      <c r="E219" s="189">
        <f>E218</f>
        <v>56</v>
      </c>
      <c r="F219" s="131"/>
      <c r="G219" s="131"/>
    </row>
    <row r="220" spans="1:7" ht="17.25" customHeight="1">
      <c r="A220" s="189" t="s">
        <v>14</v>
      </c>
      <c r="B220" s="125">
        <f>B203+B213+B219+B216</f>
        <v>65</v>
      </c>
      <c r="C220" s="125"/>
      <c r="D220" s="125"/>
      <c r="E220" s="125">
        <f>E203+E213+E219+E216</f>
        <v>5526</v>
      </c>
      <c r="F220" s="131"/>
      <c r="G220" s="131"/>
    </row>
    <row r="221" spans="1:7" ht="17.25" customHeight="1">
      <c r="A221" s="192"/>
      <c r="B221" s="126"/>
      <c r="C221" s="127"/>
      <c r="D221" s="125"/>
      <c r="E221" s="125"/>
      <c r="F221" s="131"/>
      <c r="G221" s="131"/>
    </row>
    <row r="222" spans="1:7" ht="28.5" customHeight="1">
      <c r="A222" s="325" t="s">
        <v>686</v>
      </c>
      <c r="B222" s="326"/>
      <c r="C222" s="326"/>
      <c r="D222" s="326"/>
      <c r="E222" s="326"/>
      <c r="F222" s="131"/>
      <c r="G222" s="131"/>
    </row>
    <row r="223" spans="1:7" ht="24" customHeight="1">
      <c r="A223" s="40" t="s">
        <v>212</v>
      </c>
      <c r="B223" s="40" t="s">
        <v>213</v>
      </c>
      <c r="C223" s="40" t="s">
        <v>214</v>
      </c>
      <c r="D223" s="40" t="s">
        <v>215</v>
      </c>
      <c r="E223" s="39" t="s">
        <v>216</v>
      </c>
      <c r="F223" s="131"/>
      <c r="G223" s="131"/>
    </row>
    <row r="224" spans="1:7" ht="17.25" customHeight="1">
      <c r="A224" s="318" t="s">
        <v>223</v>
      </c>
      <c r="B224" s="319"/>
      <c r="C224" s="320"/>
      <c r="D224" s="40"/>
      <c r="E224" s="39"/>
      <c r="F224" s="131"/>
      <c r="G224" s="131"/>
    </row>
    <row r="225" spans="1:7" ht="17.25" customHeight="1">
      <c r="A225" s="60">
        <v>23108</v>
      </c>
      <c r="B225" s="60">
        <v>4</v>
      </c>
      <c r="C225" s="40" t="s">
        <v>225</v>
      </c>
      <c r="D225" s="40" t="s">
        <v>384</v>
      </c>
      <c r="E225" s="60">
        <v>334</v>
      </c>
      <c r="F225" s="131"/>
      <c r="G225" s="131"/>
    </row>
    <row r="226" spans="1:7" ht="17.25" customHeight="1">
      <c r="A226" s="40"/>
      <c r="B226" s="189">
        <f>SUM(B225:B225)</f>
        <v>4</v>
      </c>
      <c r="C226" s="189"/>
      <c r="D226" s="189"/>
      <c r="E226" s="189">
        <f>SUM(E225:E225)</f>
        <v>334</v>
      </c>
      <c r="F226" s="131"/>
      <c r="G226" s="131"/>
    </row>
    <row r="227" spans="1:7" ht="17.25" customHeight="1">
      <c r="A227" s="318" t="s">
        <v>217</v>
      </c>
      <c r="B227" s="319"/>
      <c r="C227" s="320"/>
      <c r="D227" s="40"/>
      <c r="E227" s="39"/>
      <c r="F227" s="131"/>
      <c r="G227" s="131"/>
    </row>
    <row r="228" spans="1:7" ht="17.25" customHeight="1">
      <c r="A228" s="60">
        <v>23110</v>
      </c>
      <c r="B228" s="60">
        <v>2</v>
      </c>
      <c r="C228" s="60" t="s">
        <v>224</v>
      </c>
      <c r="D228" s="60" t="s">
        <v>386</v>
      </c>
      <c r="E228" s="60">
        <v>108</v>
      </c>
      <c r="F228" s="131"/>
      <c r="G228" s="131"/>
    </row>
    <row r="229" spans="1:7" ht="17.25" customHeight="1">
      <c r="A229" s="40">
        <v>23111</v>
      </c>
      <c r="B229" s="40">
        <v>3</v>
      </c>
      <c r="C229" s="177" t="s">
        <v>240</v>
      </c>
      <c r="D229" s="40" t="s">
        <v>387</v>
      </c>
      <c r="E229" s="40">
        <v>590</v>
      </c>
      <c r="F229" s="131"/>
      <c r="G229" s="131"/>
    </row>
    <row r="230" spans="1:7" ht="17.25" customHeight="1">
      <c r="A230" s="40">
        <v>23112</v>
      </c>
      <c r="B230" s="40">
        <v>1</v>
      </c>
      <c r="C230" s="190" t="s">
        <v>243</v>
      </c>
      <c r="D230" s="40" t="s">
        <v>278</v>
      </c>
      <c r="E230" s="40">
        <v>290</v>
      </c>
      <c r="F230" s="131"/>
      <c r="G230" s="131"/>
    </row>
    <row r="231" spans="1:7" ht="17.25" customHeight="1">
      <c r="A231" s="40">
        <v>23113</v>
      </c>
      <c r="B231" s="40">
        <v>1</v>
      </c>
      <c r="C231" s="190" t="s">
        <v>388</v>
      </c>
      <c r="D231" s="40" t="s">
        <v>389</v>
      </c>
      <c r="E231" s="40">
        <v>430</v>
      </c>
      <c r="F231" s="131">
        <f>B228</f>
        <v>2</v>
      </c>
      <c r="G231" s="131"/>
    </row>
    <row r="232" spans="1:7" ht="17.25" customHeight="1">
      <c r="A232" s="60">
        <v>23115</v>
      </c>
      <c r="B232" s="60">
        <v>30</v>
      </c>
      <c r="C232" s="45" t="s">
        <v>225</v>
      </c>
      <c r="D232" s="218" t="s">
        <v>505</v>
      </c>
      <c r="E232" s="45">
        <v>2273</v>
      </c>
      <c r="F232" s="131">
        <f>B232+B233+B236+B237+B238+B239+B240</f>
        <v>200</v>
      </c>
      <c r="G232" s="131"/>
    </row>
    <row r="233" spans="1:7" ht="17.25" customHeight="1">
      <c r="A233" s="60">
        <v>23116</v>
      </c>
      <c r="B233" s="60">
        <v>30</v>
      </c>
      <c r="C233" s="45" t="s">
        <v>225</v>
      </c>
      <c r="D233" s="218" t="s">
        <v>506</v>
      </c>
      <c r="E233" s="45">
        <v>2254</v>
      </c>
      <c r="F233" s="131">
        <f>B234+B235+B241</f>
        <v>90</v>
      </c>
      <c r="G233" s="131"/>
    </row>
    <row r="234" spans="1:7" ht="17.25" customHeight="1">
      <c r="A234" s="40">
        <v>23125</v>
      </c>
      <c r="B234" s="40">
        <v>30</v>
      </c>
      <c r="C234" s="40" t="s">
        <v>228</v>
      </c>
      <c r="D234" s="40" t="s">
        <v>510</v>
      </c>
      <c r="E234" s="40">
        <v>3018</v>
      </c>
      <c r="F234" s="131"/>
      <c r="G234" s="131"/>
    </row>
    <row r="235" spans="1:7" ht="17.25" customHeight="1">
      <c r="A235" s="40">
        <v>23126</v>
      </c>
      <c r="B235" s="40">
        <v>30</v>
      </c>
      <c r="C235" s="40" t="s">
        <v>228</v>
      </c>
      <c r="D235" s="40" t="s">
        <v>511</v>
      </c>
      <c r="E235" s="40">
        <v>2997</v>
      </c>
      <c r="F235" s="131"/>
      <c r="G235" s="131"/>
    </row>
    <row r="236" spans="1:7" ht="17.25" customHeight="1">
      <c r="A236" s="60">
        <v>23120</v>
      </c>
      <c r="B236" s="60">
        <v>30</v>
      </c>
      <c r="C236" s="45" t="s">
        <v>225</v>
      </c>
      <c r="D236" s="40" t="s">
        <v>517</v>
      </c>
      <c r="E236" s="40">
        <v>2263</v>
      </c>
      <c r="F236" s="131"/>
      <c r="G236" s="131"/>
    </row>
    <row r="237" spans="1:7" ht="17.25" customHeight="1">
      <c r="A237" s="60">
        <v>23121</v>
      </c>
      <c r="B237" s="60">
        <v>30</v>
      </c>
      <c r="C237" s="45" t="s">
        <v>225</v>
      </c>
      <c r="D237" s="40" t="s">
        <v>518</v>
      </c>
      <c r="E237" s="40">
        <v>2269</v>
      </c>
      <c r="F237" s="131"/>
      <c r="G237" s="131"/>
    </row>
    <row r="238" spans="1:7" ht="17.25" customHeight="1">
      <c r="A238" s="60">
        <v>23122</v>
      </c>
      <c r="B238" s="60">
        <v>30</v>
      </c>
      <c r="C238" s="45" t="s">
        <v>225</v>
      </c>
      <c r="D238" s="40" t="s">
        <v>519</v>
      </c>
      <c r="E238" s="60">
        <v>2267</v>
      </c>
      <c r="F238" s="131"/>
      <c r="G238" s="131"/>
    </row>
    <row r="239" spans="1:7" ht="17.25" customHeight="1">
      <c r="A239" s="60">
        <v>23123</v>
      </c>
      <c r="B239" s="60">
        <v>30</v>
      </c>
      <c r="C239" s="45" t="s">
        <v>225</v>
      </c>
      <c r="D239" s="40" t="s">
        <v>520</v>
      </c>
      <c r="E239" s="60">
        <v>2255</v>
      </c>
      <c r="F239" s="131"/>
      <c r="G239" s="131"/>
    </row>
    <row r="240" spans="1:7" ht="17.25" customHeight="1">
      <c r="A240" s="60">
        <v>23124</v>
      </c>
      <c r="B240" s="60">
        <v>20</v>
      </c>
      <c r="C240" s="45" t="s">
        <v>225</v>
      </c>
      <c r="D240" s="60" t="s">
        <v>521</v>
      </c>
      <c r="E240" s="60">
        <v>1501</v>
      </c>
      <c r="F240" s="131"/>
      <c r="G240" s="131"/>
    </row>
    <row r="241" spans="1:7" ht="17.25" customHeight="1">
      <c r="A241" s="40">
        <v>23132</v>
      </c>
      <c r="B241" s="40">
        <v>30</v>
      </c>
      <c r="C241" s="40" t="s">
        <v>228</v>
      </c>
      <c r="D241" s="40" t="s">
        <v>522</v>
      </c>
      <c r="E241" s="40">
        <v>2901</v>
      </c>
      <c r="F241" s="131"/>
      <c r="G241" s="131"/>
    </row>
    <row r="242" spans="1:7" ht="17.25" customHeight="1">
      <c r="A242" s="40"/>
      <c r="B242" s="189">
        <f>SUM(B228:B241)</f>
        <v>297</v>
      </c>
      <c r="C242" s="265"/>
      <c r="D242" s="265"/>
      <c r="E242" s="265">
        <f>SUM(E228:E241)</f>
        <v>25416</v>
      </c>
      <c r="F242" s="131"/>
      <c r="G242" s="131"/>
    </row>
    <row r="243" spans="1:7" ht="17.25" customHeight="1">
      <c r="A243" s="189" t="s">
        <v>14</v>
      </c>
      <c r="B243" s="125">
        <f>B226+B242</f>
        <v>301</v>
      </c>
      <c r="C243" s="125"/>
      <c r="D243" s="125"/>
      <c r="E243" s="125">
        <f>E226+E242</f>
        <v>25750</v>
      </c>
      <c r="F243" s="131"/>
      <c r="G243" s="131"/>
    </row>
    <row r="244" spans="1:7" ht="17.25" customHeight="1">
      <c r="A244" s="192"/>
      <c r="B244" s="126"/>
      <c r="C244" s="127"/>
      <c r="D244" s="125"/>
      <c r="E244" s="125"/>
      <c r="F244" s="131"/>
      <c r="G244" s="131"/>
    </row>
    <row r="245" spans="1:7" ht="26.25" customHeight="1">
      <c r="A245" s="325" t="s">
        <v>687</v>
      </c>
      <c r="B245" s="326"/>
      <c r="C245" s="326"/>
      <c r="D245" s="326"/>
      <c r="E245" s="326"/>
      <c r="F245" s="131"/>
      <c r="G245" s="131"/>
    </row>
    <row r="246" spans="1:7" ht="25.5" customHeight="1">
      <c r="A246" s="40" t="s">
        <v>212</v>
      </c>
      <c r="B246" s="40" t="s">
        <v>213</v>
      </c>
      <c r="C246" s="40" t="s">
        <v>214</v>
      </c>
      <c r="D246" s="40" t="s">
        <v>215</v>
      </c>
      <c r="E246" s="39" t="s">
        <v>216</v>
      </c>
      <c r="F246" s="131"/>
      <c r="G246" s="131"/>
    </row>
    <row r="247" spans="1:7" ht="17.25" customHeight="1">
      <c r="A247" s="318" t="s">
        <v>223</v>
      </c>
      <c r="B247" s="319"/>
      <c r="C247" s="320"/>
      <c r="D247" s="40"/>
      <c r="E247" s="39"/>
      <c r="F247" s="131"/>
      <c r="G247" s="131"/>
    </row>
    <row r="248" spans="1:7" ht="17.25" customHeight="1">
      <c r="A248" s="60">
        <v>23109</v>
      </c>
      <c r="B248" s="60">
        <v>8</v>
      </c>
      <c r="C248" s="40" t="s">
        <v>228</v>
      </c>
      <c r="D248" s="40" t="s">
        <v>385</v>
      </c>
      <c r="E248" s="60">
        <v>894</v>
      </c>
      <c r="F248" s="131"/>
      <c r="G248" s="131"/>
    </row>
    <row r="249" spans="1:7" ht="17.25" customHeight="1">
      <c r="A249" s="40"/>
      <c r="B249" s="189">
        <f>SUM(B248:B248)</f>
        <v>8</v>
      </c>
      <c r="C249" s="189"/>
      <c r="D249" s="189"/>
      <c r="E249" s="189">
        <f>SUM(E248:E248)</f>
        <v>894</v>
      </c>
      <c r="F249" s="131"/>
      <c r="G249" s="131"/>
    </row>
    <row r="250" spans="1:7" ht="17.25" customHeight="1">
      <c r="A250" s="318" t="s">
        <v>217</v>
      </c>
      <c r="B250" s="319"/>
      <c r="C250" s="320"/>
      <c r="D250" s="40"/>
      <c r="E250" s="39"/>
      <c r="F250" s="131"/>
      <c r="G250" s="131"/>
    </row>
    <row r="251" spans="1:7" ht="17.25" customHeight="1">
      <c r="A251" s="60">
        <v>23114</v>
      </c>
      <c r="B251" s="60">
        <v>2</v>
      </c>
      <c r="C251" s="40" t="s">
        <v>228</v>
      </c>
      <c r="D251" s="40" t="s">
        <v>390</v>
      </c>
      <c r="E251" s="60">
        <v>147</v>
      </c>
      <c r="F251" s="131"/>
      <c r="G251" s="131"/>
    </row>
    <row r="252" spans="1:7" ht="17.25" customHeight="1">
      <c r="A252" s="60">
        <v>23114</v>
      </c>
      <c r="B252" s="60">
        <v>1</v>
      </c>
      <c r="C252" s="190" t="s">
        <v>232</v>
      </c>
      <c r="D252" s="70" t="s">
        <v>391</v>
      </c>
      <c r="E252" s="40">
        <v>90</v>
      </c>
      <c r="F252" s="131"/>
      <c r="G252" s="131"/>
    </row>
    <row r="253" spans="1:7" ht="17.25" customHeight="1">
      <c r="A253" s="60">
        <v>23117</v>
      </c>
      <c r="B253" s="60">
        <v>30</v>
      </c>
      <c r="C253" s="45" t="s">
        <v>225</v>
      </c>
      <c r="D253" s="218" t="s">
        <v>507</v>
      </c>
      <c r="E253" s="45">
        <v>2265</v>
      </c>
      <c r="F253" s="131">
        <f>B253+B254+B255</f>
        <v>90</v>
      </c>
      <c r="G253" s="131"/>
    </row>
    <row r="254" spans="1:7" ht="17.25" customHeight="1">
      <c r="A254" s="60">
        <v>23118</v>
      </c>
      <c r="B254" s="60">
        <v>30</v>
      </c>
      <c r="C254" s="45" t="s">
        <v>225</v>
      </c>
      <c r="D254" s="40" t="s">
        <v>508</v>
      </c>
      <c r="E254" s="40">
        <v>2257</v>
      </c>
      <c r="F254" s="131">
        <f>B256+B257+B258+B259+B260+B251</f>
        <v>152</v>
      </c>
      <c r="G254" s="131"/>
    </row>
    <row r="255" spans="1:7" ht="17.25" customHeight="1">
      <c r="A255" s="60">
        <v>23119</v>
      </c>
      <c r="B255" s="60">
        <v>30</v>
      </c>
      <c r="C255" s="45" t="s">
        <v>225</v>
      </c>
      <c r="D255" s="40" t="s">
        <v>509</v>
      </c>
      <c r="E255" s="40">
        <v>2267</v>
      </c>
      <c r="F255" s="131"/>
      <c r="G255" s="131"/>
    </row>
    <row r="256" spans="1:7" ht="17.25" customHeight="1">
      <c r="A256" s="40">
        <v>23127</v>
      </c>
      <c r="B256" s="40">
        <v>30</v>
      </c>
      <c r="C256" s="40" t="s">
        <v>228</v>
      </c>
      <c r="D256" s="40" t="s">
        <v>512</v>
      </c>
      <c r="E256" s="40">
        <v>2947</v>
      </c>
      <c r="F256" s="131"/>
      <c r="G256" s="131"/>
    </row>
    <row r="257" spans="1:7" ht="17.25" customHeight="1">
      <c r="A257" s="40">
        <v>23128</v>
      </c>
      <c r="B257" s="40">
        <v>30</v>
      </c>
      <c r="C257" s="40" t="s">
        <v>228</v>
      </c>
      <c r="D257" s="40" t="s">
        <v>513</v>
      </c>
      <c r="E257" s="40">
        <v>3035</v>
      </c>
      <c r="F257" s="131"/>
      <c r="G257" s="131"/>
    </row>
    <row r="258" spans="1:7" ht="17.25" customHeight="1">
      <c r="A258" s="40">
        <v>23129</v>
      </c>
      <c r="B258" s="40">
        <v>30</v>
      </c>
      <c r="C258" s="40" t="s">
        <v>228</v>
      </c>
      <c r="D258" s="40" t="s">
        <v>514</v>
      </c>
      <c r="E258" s="40">
        <v>2909</v>
      </c>
      <c r="F258" s="131"/>
      <c r="G258" s="131"/>
    </row>
    <row r="259" spans="1:7" ht="17.25" customHeight="1">
      <c r="A259" s="40">
        <v>23130</v>
      </c>
      <c r="B259" s="40">
        <v>30</v>
      </c>
      <c r="C259" s="40" t="s">
        <v>228</v>
      </c>
      <c r="D259" s="40" t="s">
        <v>515</v>
      </c>
      <c r="E259" s="40">
        <v>2980</v>
      </c>
      <c r="F259" s="131"/>
      <c r="G259" s="131"/>
    </row>
    <row r="260" spans="1:7" ht="17.25" customHeight="1">
      <c r="A260" s="40">
        <v>23131</v>
      </c>
      <c r="B260" s="40">
        <v>30</v>
      </c>
      <c r="C260" s="40" t="s">
        <v>228</v>
      </c>
      <c r="D260" s="40" t="s">
        <v>516</v>
      </c>
      <c r="E260" s="40">
        <v>3034</v>
      </c>
      <c r="F260" s="131"/>
      <c r="G260" s="131"/>
    </row>
    <row r="261" spans="1:7" ht="17.25" customHeight="1">
      <c r="A261" s="40"/>
      <c r="B261" s="189">
        <f>SUM(B251:B260)</f>
        <v>243</v>
      </c>
      <c r="C261" s="265"/>
      <c r="D261" s="265"/>
      <c r="E261" s="265">
        <f>SUM(E251:E260)</f>
        <v>21931</v>
      </c>
      <c r="F261" s="131"/>
      <c r="G261" s="131"/>
    </row>
    <row r="262" spans="1:7" ht="17.25" customHeight="1">
      <c r="A262" s="318" t="s">
        <v>230</v>
      </c>
      <c r="B262" s="319"/>
      <c r="C262" s="320"/>
      <c r="D262" s="189"/>
      <c r="E262" s="192"/>
      <c r="F262" s="131"/>
      <c r="G262" s="131"/>
    </row>
    <row r="263" spans="1:7" ht="17.25" customHeight="1">
      <c r="A263" s="42">
        <v>23139</v>
      </c>
      <c r="B263" s="60">
        <v>10</v>
      </c>
      <c r="C263" s="40" t="s">
        <v>218</v>
      </c>
      <c r="D263" s="70" t="s">
        <v>396</v>
      </c>
      <c r="E263" s="40">
        <v>675</v>
      </c>
      <c r="F263" s="131"/>
      <c r="G263" s="131"/>
    </row>
    <row r="264" spans="1:7" ht="17.25" customHeight="1">
      <c r="A264" s="40"/>
      <c r="B264" s="189">
        <f>B263</f>
        <v>10</v>
      </c>
      <c r="C264" s="189"/>
      <c r="D264" s="189"/>
      <c r="E264" s="189">
        <f>E263</f>
        <v>675</v>
      </c>
      <c r="F264" s="131"/>
      <c r="G264" s="131"/>
    </row>
    <row r="265" spans="1:7" ht="17.25" customHeight="1">
      <c r="A265" s="189" t="s">
        <v>14</v>
      </c>
      <c r="B265" s="125">
        <f>B249+B261+B264</f>
        <v>261</v>
      </c>
      <c r="C265" s="125"/>
      <c r="D265" s="125"/>
      <c r="E265" s="125">
        <f>E249+E261+E264</f>
        <v>23500</v>
      </c>
      <c r="F265" s="131"/>
      <c r="G265" s="131"/>
    </row>
    <row r="266" spans="1:7" ht="17.25" customHeight="1">
      <c r="A266" s="192"/>
      <c r="B266" s="126"/>
      <c r="C266" s="127"/>
      <c r="D266" s="125"/>
      <c r="E266" s="125"/>
      <c r="F266" s="131"/>
      <c r="G266" s="131"/>
    </row>
    <row r="267" spans="1:7" ht="33.75" customHeight="1">
      <c r="A267" s="325" t="s">
        <v>688</v>
      </c>
      <c r="B267" s="326"/>
      <c r="C267" s="326"/>
      <c r="D267" s="326"/>
      <c r="E267" s="326"/>
      <c r="F267" s="131"/>
      <c r="G267" s="131"/>
    </row>
    <row r="268" spans="1:7" ht="23.25" customHeight="1">
      <c r="A268" s="40" t="s">
        <v>212</v>
      </c>
      <c r="B268" s="40" t="s">
        <v>213</v>
      </c>
      <c r="C268" s="40" t="s">
        <v>214</v>
      </c>
      <c r="D268" s="40" t="s">
        <v>215</v>
      </c>
      <c r="E268" s="39" t="s">
        <v>216</v>
      </c>
      <c r="F268" s="131"/>
      <c r="G268" s="131"/>
    </row>
    <row r="269" spans="1:7" ht="17.25" customHeight="1">
      <c r="A269" s="318" t="s">
        <v>223</v>
      </c>
      <c r="B269" s="319"/>
      <c r="C269" s="320"/>
      <c r="D269" s="40"/>
      <c r="E269" s="39"/>
      <c r="F269" s="131"/>
      <c r="G269" s="131"/>
    </row>
    <row r="270" spans="1:7" ht="17.25" customHeight="1">
      <c r="A270" s="70">
        <v>2</v>
      </c>
      <c r="B270" s="91">
        <v>2</v>
      </c>
      <c r="C270" s="60" t="s">
        <v>224</v>
      </c>
      <c r="D270" s="175" t="s">
        <v>401</v>
      </c>
      <c r="E270" s="70">
        <v>116</v>
      </c>
      <c r="F270" s="131"/>
      <c r="G270" s="131"/>
    </row>
    <row r="271" spans="1:7" ht="17.25" customHeight="1">
      <c r="A271" s="70">
        <v>3</v>
      </c>
      <c r="B271" s="60">
        <v>8</v>
      </c>
      <c r="C271" s="91" t="s">
        <v>225</v>
      </c>
      <c r="D271" s="60" t="s">
        <v>402</v>
      </c>
      <c r="E271" s="40">
        <v>646</v>
      </c>
      <c r="F271" s="131"/>
      <c r="G271" s="131"/>
    </row>
    <row r="272" spans="1:7" ht="17.25" customHeight="1">
      <c r="A272" s="70">
        <v>4</v>
      </c>
      <c r="B272" s="91">
        <v>12</v>
      </c>
      <c r="C272" s="60" t="s">
        <v>228</v>
      </c>
      <c r="D272" s="70" t="s">
        <v>403</v>
      </c>
      <c r="E272" s="70">
        <v>1335</v>
      </c>
      <c r="F272" s="131"/>
      <c r="G272" s="131"/>
    </row>
    <row r="273" spans="1:7" ht="17.25" customHeight="1">
      <c r="A273" s="70">
        <v>5</v>
      </c>
      <c r="B273" s="40">
        <v>2</v>
      </c>
      <c r="C273" s="190" t="s">
        <v>409</v>
      </c>
      <c r="D273" s="105" t="s">
        <v>404</v>
      </c>
      <c r="E273" s="174">
        <v>1300</v>
      </c>
      <c r="F273" s="131"/>
      <c r="G273" s="131"/>
    </row>
    <row r="274" spans="1:7" ht="17.25" customHeight="1">
      <c r="A274" s="70">
        <v>6</v>
      </c>
      <c r="B274" s="104">
        <v>2</v>
      </c>
      <c r="C274" s="108" t="s">
        <v>410</v>
      </c>
      <c r="D274" s="104" t="s">
        <v>405</v>
      </c>
      <c r="E274" s="104">
        <v>2000</v>
      </c>
      <c r="F274" s="131"/>
      <c r="G274" s="131"/>
    </row>
    <row r="275" spans="1:7" ht="17.25" customHeight="1">
      <c r="A275" s="40"/>
      <c r="B275" s="189">
        <f>SUM(B270:B274)</f>
        <v>26</v>
      </c>
      <c r="C275" s="189"/>
      <c r="D275" s="189"/>
      <c r="E275" s="189">
        <f>SUM(E270:E274)</f>
        <v>5397</v>
      </c>
      <c r="F275" s="131"/>
      <c r="G275" s="131"/>
    </row>
    <row r="276" spans="1:7" ht="17.25" customHeight="1">
      <c r="A276" s="318" t="s">
        <v>217</v>
      </c>
      <c r="B276" s="319"/>
      <c r="C276" s="320"/>
      <c r="D276" s="40"/>
      <c r="E276" s="39"/>
      <c r="F276" s="131"/>
      <c r="G276" s="131"/>
    </row>
    <row r="277" spans="1:7" ht="17.25" customHeight="1">
      <c r="A277" s="70">
        <v>7</v>
      </c>
      <c r="B277" s="60">
        <v>3</v>
      </c>
      <c r="C277" s="40" t="s">
        <v>224</v>
      </c>
      <c r="D277" s="70" t="s">
        <v>406</v>
      </c>
      <c r="E277" s="40">
        <v>150</v>
      </c>
      <c r="F277" s="131"/>
      <c r="G277" s="131"/>
    </row>
    <row r="278" spans="1:7" ht="17.25" customHeight="1">
      <c r="A278" s="40">
        <v>8</v>
      </c>
      <c r="B278" s="60">
        <v>11</v>
      </c>
      <c r="C278" s="132" t="s">
        <v>232</v>
      </c>
      <c r="D278" s="174" t="s">
        <v>493</v>
      </c>
      <c r="E278" s="40">
        <v>1229</v>
      </c>
      <c r="F278" s="131"/>
      <c r="G278" s="131"/>
    </row>
    <row r="279" spans="1:7" ht="17.25" customHeight="1">
      <c r="A279" s="40">
        <v>9</v>
      </c>
      <c r="B279" s="40">
        <v>6</v>
      </c>
      <c r="C279" s="132" t="s">
        <v>240</v>
      </c>
      <c r="D279" s="174" t="s">
        <v>494</v>
      </c>
      <c r="E279" s="40">
        <v>1229</v>
      </c>
      <c r="F279" s="131"/>
      <c r="G279" s="131"/>
    </row>
    <row r="280" spans="1:7" ht="17.25" customHeight="1">
      <c r="A280" s="137">
        <v>10</v>
      </c>
      <c r="B280" s="104">
        <v>9</v>
      </c>
      <c r="C280" s="108" t="s">
        <v>243</v>
      </c>
      <c r="D280" s="104" t="s">
        <v>408</v>
      </c>
      <c r="E280" s="104">
        <v>2357</v>
      </c>
      <c r="F280" s="131"/>
      <c r="G280" s="131"/>
    </row>
    <row r="281" spans="1:7" ht="17.25" customHeight="1">
      <c r="A281" s="40"/>
      <c r="B281" s="189">
        <f>SUM(B277:B280)</f>
        <v>29</v>
      </c>
      <c r="C281" s="189"/>
      <c r="D281" s="189"/>
      <c r="E281" s="189">
        <f>SUM(E277:E280)</f>
        <v>4965</v>
      </c>
      <c r="F281" s="131"/>
      <c r="G281" s="131"/>
    </row>
    <row r="282" spans="1:7" ht="17.25" customHeight="1">
      <c r="A282" s="318" t="s">
        <v>229</v>
      </c>
      <c r="B282" s="319"/>
      <c r="C282" s="320"/>
      <c r="D282" s="189"/>
      <c r="E282" s="192"/>
      <c r="F282" s="131"/>
      <c r="G282" s="131"/>
    </row>
    <row r="283" spans="1:7" ht="17.25" customHeight="1">
      <c r="A283" s="70">
        <v>1</v>
      </c>
      <c r="B283" s="91">
        <v>3</v>
      </c>
      <c r="C283" s="91" t="s">
        <v>225</v>
      </c>
      <c r="D283" s="70" t="s">
        <v>407</v>
      </c>
      <c r="E283" s="70">
        <v>186</v>
      </c>
      <c r="F283" s="131"/>
      <c r="G283" s="131"/>
    </row>
    <row r="284" spans="1:7" ht="17.25" customHeight="1">
      <c r="A284" s="40"/>
      <c r="B284" s="189">
        <f>B283</f>
        <v>3</v>
      </c>
      <c r="C284" s="189"/>
      <c r="D284" s="189"/>
      <c r="E284" s="189">
        <f>E283</f>
        <v>186</v>
      </c>
      <c r="F284" s="131"/>
      <c r="G284" s="131"/>
    </row>
    <row r="285" spans="1:7" ht="17.25" customHeight="1">
      <c r="A285" s="189" t="s">
        <v>14</v>
      </c>
      <c r="B285" s="125">
        <f>B275+B281+B284</f>
        <v>58</v>
      </c>
      <c r="C285" s="125"/>
      <c r="D285" s="125"/>
      <c r="E285" s="125">
        <f>E275+E281+E284</f>
        <v>10548</v>
      </c>
      <c r="F285" s="125"/>
      <c r="G285" s="125"/>
    </row>
    <row r="286" spans="1:7" ht="17.25" customHeight="1">
      <c r="A286" s="192"/>
      <c r="B286" s="126"/>
      <c r="C286" s="127"/>
      <c r="D286" s="125"/>
      <c r="E286" s="125"/>
      <c r="F286" s="131"/>
      <c r="G286" s="131"/>
    </row>
    <row r="287" spans="1:7" ht="31.5" customHeight="1">
      <c r="A287" s="325" t="s">
        <v>689</v>
      </c>
      <c r="B287" s="326"/>
      <c r="C287" s="326"/>
      <c r="D287" s="326"/>
      <c r="E287" s="326"/>
      <c r="F287" s="131"/>
      <c r="G287" s="131"/>
    </row>
    <row r="288" spans="1:7" ht="24" customHeight="1">
      <c r="A288" s="40" t="s">
        <v>212</v>
      </c>
      <c r="B288" s="40" t="s">
        <v>213</v>
      </c>
      <c r="C288" s="40" t="s">
        <v>214</v>
      </c>
      <c r="D288" s="40" t="s">
        <v>215</v>
      </c>
      <c r="E288" s="39" t="s">
        <v>216</v>
      </c>
      <c r="F288" s="131"/>
      <c r="G288" s="131"/>
    </row>
    <row r="289" spans="1:7" ht="17.25" customHeight="1">
      <c r="A289" s="318" t="s">
        <v>223</v>
      </c>
      <c r="B289" s="319"/>
      <c r="C289" s="320"/>
      <c r="D289" s="40"/>
      <c r="E289" s="39"/>
      <c r="F289" s="131"/>
      <c r="G289" s="131"/>
    </row>
    <row r="290" spans="1:7" ht="17.25" customHeight="1">
      <c r="A290" s="109" t="s">
        <v>411</v>
      </c>
      <c r="B290" s="178">
        <v>1</v>
      </c>
      <c r="C290" s="105" t="s">
        <v>225</v>
      </c>
      <c r="D290" s="178" t="s">
        <v>412</v>
      </c>
      <c r="E290" s="178">
        <v>85</v>
      </c>
      <c r="F290" s="131">
        <f>B290+B292</f>
        <v>3</v>
      </c>
      <c r="G290" s="131"/>
    </row>
    <row r="291" spans="1:7" ht="17.25" customHeight="1">
      <c r="A291" s="40" t="s">
        <v>413</v>
      </c>
      <c r="B291" s="105">
        <v>2</v>
      </c>
      <c r="C291" s="105" t="s">
        <v>228</v>
      </c>
      <c r="D291" s="179" t="s">
        <v>414</v>
      </c>
      <c r="E291" s="105">
        <v>244</v>
      </c>
      <c r="F291" s="131">
        <f>B291+B293+B294</f>
        <v>11</v>
      </c>
      <c r="G291" s="131"/>
    </row>
    <row r="292" spans="1:7" ht="17.25" customHeight="1">
      <c r="A292" s="40" t="s">
        <v>572</v>
      </c>
      <c r="B292" s="45">
        <v>2</v>
      </c>
      <c r="C292" s="45" t="s">
        <v>225</v>
      </c>
      <c r="D292" s="45" t="s">
        <v>573</v>
      </c>
      <c r="E292" s="45">
        <v>166</v>
      </c>
      <c r="F292" s="131"/>
      <c r="G292" s="131"/>
    </row>
    <row r="293" spans="1:7" ht="17.25" customHeight="1">
      <c r="A293" s="40" t="s">
        <v>574</v>
      </c>
      <c r="B293" s="45">
        <v>2</v>
      </c>
      <c r="C293" s="45" t="s">
        <v>228</v>
      </c>
      <c r="D293" s="45" t="s">
        <v>575</v>
      </c>
      <c r="E293" s="45">
        <v>212</v>
      </c>
      <c r="F293" s="131"/>
      <c r="G293" s="131"/>
    </row>
    <row r="294" spans="1:7" ht="17.25" customHeight="1">
      <c r="A294" s="109" t="s">
        <v>274</v>
      </c>
      <c r="B294" s="104">
        <v>7</v>
      </c>
      <c r="C294" s="104" t="s">
        <v>228</v>
      </c>
      <c r="D294" s="104" t="s">
        <v>275</v>
      </c>
      <c r="E294" s="104">
        <v>780</v>
      </c>
      <c r="F294" s="131"/>
      <c r="G294" s="131"/>
    </row>
    <row r="295" spans="1:7" ht="17.25" customHeight="1">
      <c r="A295" s="40"/>
      <c r="B295" s="189">
        <f>SUM(B290:B294)</f>
        <v>14</v>
      </c>
      <c r="C295" s="265"/>
      <c r="D295" s="265"/>
      <c r="E295" s="265">
        <f>SUM(E290:E294)</f>
        <v>1487</v>
      </c>
      <c r="F295" s="131"/>
      <c r="G295" s="131"/>
    </row>
    <row r="296" spans="1:7" ht="17.25" customHeight="1">
      <c r="A296" s="318" t="s">
        <v>217</v>
      </c>
      <c r="B296" s="319"/>
      <c r="C296" s="320"/>
      <c r="D296" s="40"/>
      <c r="E296" s="39"/>
      <c r="F296" s="131"/>
      <c r="G296" s="131"/>
    </row>
    <row r="297" spans="1:7" ht="17.25" customHeight="1">
      <c r="A297" s="109" t="s">
        <v>415</v>
      </c>
      <c r="B297" s="60">
        <v>2</v>
      </c>
      <c r="C297" s="132" t="s">
        <v>232</v>
      </c>
      <c r="D297" s="70" t="s">
        <v>416</v>
      </c>
      <c r="E297" s="40">
        <v>234</v>
      </c>
      <c r="F297" s="131"/>
      <c r="G297" s="131"/>
    </row>
    <row r="298" spans="1:7" ht="17.25" customHeight="1">
      <c r="A298" s="109" t="s">
        <v>415</v>
      </c>
      <c r="B298" s="40">
        <v>2</v>
      </c>
      <c r="C298" s="190" t="s">
        <v>240</v>
      </c>
      <c r="D298" s="40" t="s">
        <v>417</v>
      </c>
      <c r="E298" s="40">
        <v>420</v>
      </c>
      <c r="F298" s="131"/>
      <c r="G298" s="131"/>
    </row>
    <row r="299" spans="1:7" ht="17.25" customHeight="1">
      <c r="A299" s="109" t="s">
        <v>415</v>
      </c>
      <c r="B299" s="40">
        <v>2</v>
      </c>
      <c r="C299" s="190" t="s">
        <v>418</v>
      </c>
      <c r="D299" s="40" t="s">
        <v>419</v>
      </c>
      <c r="E299" s="40">
        <v>555</v>
      </c>
      <c r="F299" s="131"/>
      <c r="G299" s="131"/>
    </row>
    <row r="300" spans="1:7" ht="17.25" customHeight="1">
      <c r="A300" s="180" t="s">
        <v>420</v>
      </c>
      <c r="B300" s="91">
        <v>2</v>
      </c>
      <c r="C300" s="70" t="s">
        <v>228</v>
      </c>
      <c r="D300" s="70" t="s">
        <v>421</v>
      </c>
      <c r="E300" s="70">
        <v>165</v>
      </c>
      <c r="F300" s="131"/>
      <c r="G300" s="131"/>
    </row>
    <row r="301" spans="1:7" ht="17.25" customHeight="1">
      <c r="A301" s="40" t="s">
        <v>576</v>
      </c>
      <c r="B301" s="45">
        <v>2</v>
      </c>
      <c r="C301" s="108" t="s">
        <v>240</v>
      </c>
      <c r="D301" s="104" t="s">
        <v>577</v>
      </c>
      <c r="E301" s="104">
        <v>420</v>
      </c>
      <c r="F301" s="131"/>
      <c r="G301" s="131"/>
    </row>
    <row r="302" spans="1:7" ht="17.25" customHeight="1">
      <c r="A302" s="40" t="s">
        <v>576</v>
      </c>
      <c r="B302" s="45">
        <v>2</v>
      </c>
      <c r="C302" s="108" t="s">
        <v>243</v>
      </c>
      <c r="D302" s="104" t="s">
        <v>578</v>
      </c>
      <c r="E302" s="104">
        <v>577</v>
      </c>
      <c r="F302" s="131"/>
      <c r="G302" s="131"/>
    </row>
    <row r="303" spans="1:7" ht="17.25" customHeight="1">
      <c r="A303" s="40" t="s">
        <v>579</v>
      </c>
      <c r="B303" s="45">
        <v>1</v>
      </c>
      <c r="C303" s="108" t="s">
        <v>232</v>
      </c>
      <c r="D303" s="40" t="s">
        <v>244</v>
      </c>
      <c r="E303" s="104">
        <v>115</v>
      </c>
      <c r="F303" s="131"/>
      <c r="G303" s="131"/>
    </row>
    <row r="304" spans="1:7" ht="17.25" customHeight="1">
      <c r="A304" s="109" t="s">
        <v>276</v>
      </c>
      <c r="B304" s="104">
        <v>4</v>
      </c>
      <c r="C304" s="108" t="s">
        <v>232</v>
      </c>
      <c r="D304" s="104" t="s">
        <v>277</v>
      </c>
      <c r="E304" s="104">
        <v>466</v>
      </c>
      <c r="F304" s="131"/>
      <c r="G304" s="131"/>
    </row>
    <row r="305" spans="1:7" ht="17.25" customHeight="1">
      <c r="A305" s="109" t="s">
        <v>276</v>
      </c>
      <c r="B305" s="104">
        <v>1</v>
      </c>
      <c r="C305" s="108" t="s">
        <v>240</v>
      </c>
      <c r="D305" s="104" t="s">
        <v>260</v>
      </c>
      <c r="E305" s="104">
        <v>220</v>
      </c>
      <c r="F305" s="131"/>
      <c r="G305" s="131"/>
    </row>
    <row r="306" spans="1:7" ht="17.25" customHeight="1">
      <c r="A306" s="109" t="s">
        <v>276</v>
      </c>
      <c r="B306" s="104">
        <v>1</v>
      </c>
      <c r="C306" s="108" t="s">
        <v>243</v>
      </c>
      <c r="D306" s="104" t="s">
        <v>278</v>
      </c>
      <c r="E306" s="104">
        <v>295</v>
      </c>
      <c r="F306" s="131"/>
      <c r="G306" s="131"/>
    </row>
    <row r="307" spans="1:7" ht="17.25" customHeight="1">
      <c r="A307" s="109" t="s">
        <v>279</v>
      </c>
      <c r="B307" s="104">
        <v>1</v>
      </c>
      <c r="C307" s="104" t="s">
        <v>228</v>
      </c>
      <c r="D307" s="40" t="s">
        <v>244</v>
      </c>
      <c r="E307" s="104">
        <v>87</v>
      </c>
      <c r="F307" s="131"/>
      <c r="G307" s="131"/>
    </row>
    <row r="308" spans="1:7" ht="17.25" customHeight="1">
      <c r="A308" s="109" t="s">
        <v>280</v>
      </c>
      <c r="B308" s="104">
        <v>1</v>
      </c>
      <c r="C308" s="108" t="s">
        <v>232</v>
      </c>
      <c r="D308" s="40" t="s">
        <v>244</v>
      </c>
      <c r="E308" s="104">
        <v>115</v>
      </c>
      <c r="F308" s="131"/>
      <c r="G308" s="131"/>
    </row>
    <row r="309" spans="1:7" ht="17.25" customHeight="1">
      <c r="A309" s="40"/>
      <c r="B309" s="189">
        <f>SUM(B297:B308)</f>
        <v>21</v>
      </c>
      <c r="C309" s="265"/>
      <c r="D309" s="265"/>
      <c r="E309" s="265">
        <f>SUM(E297:E308)</f>
        <v>3669</v>
      </c>
      <c r="F309" s="131"/>
      <c r="G309" s="131"/>
    </row>
    <row r="310" spans="1:7" ht="17.25" customHeight="1">
      <c r="A310" s="189" t="s">
        <v>14</v>
      </c>
      <c r="B310" s="125">
        <f>B295+B309</f>
        <v>35</v>
      </c>
      <c r="C310" s="125"/>
      <c r="D310" s="125"/>
      <c r="E310" s="125">
        <f>E295+E309</f>
        <v>5156</v>
      </c>
      <c r="F310" s="125"/>
      <c r="G310" s="125"/>
    </row>
    <row r="311" spans="1:7" ht="17.25" customHeight="1">
      <c r="A311" s="192"/>
      <c r="B311" s="126"/>
      <c r="C311" s="127"/>
      <c r="D311" s="125"/>
      <c r="E311" s="125"/>
      <c r="F311" s="183"/>
      <c r="G311" s="183"/>
    </row>
    <row r="312" spans="1:7" ht="27.75" customHeight="1">
      <c r="A312" s="325" t="s">
        <v>690</v>
      </c>
      <c r="B312" s="326"/>
      <c r="C312" s="326"/>
      <c r="D312" s="326"/>
      <c r="E312" s="326"/>
      <c r="F312" s="183"/>
      <c r="G312" s="183"/>
    </row>
    <row r="313" spans="1:7" ht="26.25" customHeight="1">
      <c r="A313" s="40" t="s">
        <v>212</v>
      </c>
      <c r="B313" s="40" t="s">
        <v>213</v>
      </c>
      <c r="C313" s="40" t="s">
        <v>214</v>
      </c>
      <c r="D313" s="40" t="s">
        <v>215</v>
      </c>
      <c r="E313" s="39" t="s">
        <v>216</v>
      </c>
      <c r="F313" s="183"/>
      <c r="G313" s="183"/>
    </row>
    <row r="314" spans="1:7" ht="17.25" customHeight="1">
      <c r="A314" s="318" t="s">
        <v>223</v>
      </c>
      <c r="B314" s="319"/>
      <c r="C314" s="320"/>
      <c r="D314" s="40"/>
      <c r="E314" s="39"/>
      <c r="F314" s="183"/>
      <c r="G314" s="183"/>
    </row>
    <row r="315" spans="1:7" ht="17.25" customHeight="1">
      <c r="A315" s="91">
        <v>1294</v>
      </c>
      <c r="B315" s="91">
        <v>2</v>
      </c>
      <c r="C315" s="91" t="s">
        <v>224</v>
      </c>
      <c r="D315" s="70" t="s">
        <v>432</v>
      </c>
      <c r="E315" s="91">
        <v>110</v>
      </c>
      <c r="F315" s="183"/>
      <c r="G315" s="183"/>
    </row>
    <row r="316" spans="1:7" ht="30" customHeight="1">
      <c r="A316" s="70">
        <v>1295</v>
      </c>
      <c r="B316" s="91">
        <v>18</v>
      </c>
      <c r="C316" s="91" t="s">
        <v>434</v>
      </c>
      <c r="D316" s="70" t="s">
        <v>433</v>
      </c>
      <c r="E316" s="70">
        <v>1398</v>
      </c>
      <c r="F316" s="183"/>
      <c r="G316" s="183"/>
    </row>
    <row r="317" spans="1:7" ht="17.25" customHeight="1">
      <c r="A317" s="40"/>
      <c r="B317" s="189">
        <f>SUM(B315:B316)</f>
        <v>20</v>
      </c>
      <c r="C317" s="189"/>
      <c r="D317" s="189"/>
      <c r="E317" s="189">
        <f>SUM(E315:E316)</f>
        <v>1508</v>
      </c>
      <c r="F317" s="183"/>
      <c r="G317" s="183"/>
    </row>
    <row r="318" spans="1:7" ht="17.25" customHeight="1">
      <c r="A318" s="318" t="s">
        <v>217</v>
      </c>
      <c r="B318" s="319"/>
      <c r="C318" s="320"/>
      <c r="D318" s="40"/>
      <c r="E318" s="39"/>
      <c r="F318" s="183"/>
      <c r="G318" s="183"/>
    </row>
    <row r="319" spans="1:7" ht="31.5" customHeight="1">
      <c r="A319" s="136">
        <v>1298</v>
      </c>
      <c r="B319" s="60">
        <v>28</v>
      </c>
      <c r="C319" s="190" t="s">
        <v>435</v>
      </c>
      <c r="D319" s="40" t="s">
        <v>437</v>
      </c>
      <c r="E319" s="104">
        <v>8400</v>
      </c>
      <c r="F319" s="183"/>
      <c r="G319" s="183"/>
    </row>
    <row r="320" spans="1:7" ht="17.25" customHeight="1">
      <c r="A320" s="135">
        <v>1299</v>
      </c>
      <c r="B320" s="91">
        <v>7</v>
      </c>
      <c r="C320" s="190" t="s">
        <v>436</v>
      </c>
      <c r="D320" s="40" t="s">
        <v>438</v>
      </c>
      <c r="E320" s="104">
        <v>3500</v>
      </c>
      <c r="F320" s="183"/>
      <c r="G320" s="183"/>
    </row>
    <row r="321" spans="1:7" ht="30.75" customHeight="1">
      <c r="A321" s="135">
        <v>1300</v>
      </c>
      <c r="B321" s="91">
        <v>9</v>
      </c>
      <c r="C321" s="206" t="s">
        <v>232</v>
      </c>
      <c r="D321" s="40" t="s">
        <v>439</v>
      </c>
      <c r="E321" s="104">
        <v>1120</v>
      </c>
      <c r="F321" s="183"/>
      <c r="G321" s="183"/>
    </row>
    <row r="322" spans="1:7" ht="27" customHeight="1">
      <c r="A322" s="135">
        <v>1301</v>
      </c>
      <c r="B322" s="91">
        <v>6</v>
      </c>
      <c r="C322" s="206" t="s">
        <v>240</v>
      </c>
      <c r="D322" s="40" t="s">
        <v>440</v>
      </c>
      <c r="E322" s="104">
        <v>1280</v>
      </c>
      <c r="F322" s="183"/>
      <c r="G322" s="183"/>
    </row>
    <row r="323" spans="1:7" ht="30" customHeight="1">
      <c r="A323" s="135">
        <v>1302</v>
      </c>
      <c r="B323" s="91">
        <v>8</v>
      </c>
      <c r="C323" s="206" t="s">
        <v>243</v>
      </c>
      <c r="D323" s="40" t="s">
        <v>441</v>
      </c>
      <c r="E323" s="104">
        <v>2175</v>
      </c>
      <c r="F323" s="183"/>
      <c r="G323" s="183"/>
    </row>
    <row r="324" spans="1:7" ht="17.25" customHeight="1">
      <c r="A324" s="136">
        <v>1296</v>
      </c>
      <c r="B324" s="60">
        <v>25</v>
      </c>
      <c r="C324" s="40" t="s">
        <v>218</v>
      </c>
      <c r="D324" s="105" t="s">
        <v>226</v>
      </c>
      <c r="E324" s="60">
        <v>1418</v>
      </c>
      <c r="F324" s="183"/>
      <c r="G324" s="183"/>
    </row>
    <row r="325" spans="1:7" ht="17.25" customHeight="1">
      <c r="A325" s="207">
        <v>1297</v>
      </c>
      <c r="B325" s="91">
        <v>11</v>
      </c>
      <c r="C325" s="40" t="s">
        <v>218</v>
      </c>
      <c r="D325" s="105" t="s">
        <v>366</v>
      </c>
      <c r="E325" s="91">
        <v>630</v>
      </c>
      <c r="F325" s="183"/>
      <c r="G325" s="183"/>
    </row>
    <row r="326" spans="1:7" ht="17.25" customHeight="1">
      <c r="A326" s="40"/>
      <c r="B326" s="189">
        <f>SUM(B319:B325)</f>
        <v>94</v>
      </c>
      <c r="C326" s="189"/>
      <c r="D326" s="189"/>
      <c r="E326" s="189">
        <f>SUM(E319:E325)</f>
        <v>18523</v>
      </c>
      <c r="F326" s="183"/>
      <c r="G326" s="183"/>
    </row>
    <row r="327" spans="1:7" ht="17.25" customHeight="1">
      <c r="A327" s="189" t="s">
        <v>14</v>
      </c>
      <c r="B327" s="125">
        <f>B317+B326</f>
        <v>114</v>
      </c>
      <c r="C327" s="125"/>
      <c r="D327" s="125"/>
      <c r="E327" s="125">
        <f>E317+E326</f>
        <v>20031</v>
      </c>
      <c r="F327" s="183"/>
      <c r="G327" s="183"/>
    </row>
    <row r="328" spans="1:7" ht="17.25" customHeight="1">
      <c r="A328" s="192"/>
      <c r="B328" s="126"/>
      <c r="C328" s="127"/>
      <c r="D328" s="125"/>
      <c r="E328" s="125"/>
      <c r="F328" s="183"/>
      <c r="G328" s="183"/>
    </row>
    <row r="329" spans="1:7" ht="28.5" customHeight="1">
      <c r="A329" s="325" t="s">
        <v>691</v>
      </c>
      <c r="B329" s="326"/>
      <c r="C329" s="326"/>
      <c r="D329" s="326"/>
      <c r="E329" s="326"/>
      <c r="F329" s="183"/>
      <c r="G329" s="183"/>
    </row>
    <row r="330" spans="1:7" ht="22.5" customHeight="1">
      <c r="A330" s="40" t="s">
        <v>212</v>
      </c>
      <c r="B330" s="40" t="s">
        <v>213</v>
      </c>
      <c r="C330" s="40" t="s">
        <v>214</v>
      </c>
      <c r="D330" s="40" t="s">
        <v>215</v>
      </c>
      <c r="E330" s="39" t="s">
        <v>216</v>
      </c>
      <c r="F330" s="183"/>
      <c r="G330" s="183"/>
    </row>
    <row r="331" spans="1:7" ht="17.25" customHeight="1">
      <c r="A331" s="318" t="s">
        <v>217</v>
      </c>
      <c r="B331" s="319"/>
      <c r="C331" s="320"/>
      <c r="D331" s="189"/>
      <c r="E331" s="192"/>
      <c r="F331" s="183"/>
      <c r="G331" s="183"/>
    </row>
    <row r="332" spans="1:7" ht="17.25" customHeight="1">
      <c r="A332" s="111">
        <v>109</v>
      </c>
      <c r="B332" s="112">
        <v>25</v>
      </c>
      <c r="C332" s="112" t="s">
        <v>218</v>
      </c>
      <c r="D332" s="40" t="s">
        <v>293</v>
      </c>
      <c r="E332" s="137">
        <v>1149</v>
      </c>
      <c r="F332" s="183">
        <f>B332+B333+B336+B337+B338+B339+B340</f>
        <v>155</v>
      </c>
      <c r="G332" s="183"/>
    </row>
    <row r="333" spans="1:7" ht="17.25" customHeight="1">
      <c r="A333" s="112">
        <v>110</v>
      </c>
      <c r="B333" s="112">
        <v>29</v>
      </c>
      <c r="C333" s="112" t="s">
        <v>218</v>
      </c>
      <c r="D333" s="40" t="s">
        <v>294</v>
      </c>
      <c r="E333" s="137">
        <v>1347</v>
      </c>
      <c r="F333" s="183"/>
      <c r="G333" s="183"/>
    </row>
    <row r="334" spans="1:7" ht="17.25" customHeight="1">
      <c r="A334" s="208">
        <v>116</v>
      </c>
      <c r="B334" s="209">
        <v>8</v>
      </c>
      <c r="C334" s="210" t="s">
        <v>345</v>
      </c>
      <c r="D334" s="211" t="s">
        <v>445</v>
      </c>
      <c r="E334" s="212">
        <v>904</v>
      </c>
      <c r="F334" s="183"/>
      <c r="G334" s="183"/>
    </row>
    <row r="335" spans="1:7" ht="35.25" customHeight="1">
      <c r="A335" s="111">
        <v>117</v>
      </c>
      <c r="B335" s="112">
        <v>23</v>
      </c>
      <c r="C335" s="124" t="s">
        <v>240</v>
      </c>
      <c r="D335" s="117" t="s">
        <v>442</v>
      </c>
      <c r="E335" s="116">
        <v>4905</v>
      </c>
      <c r="F335" s="183"/>
      <c r="G335" s="183"/>
    </row>
    <row r="336" spans="1:7" ht="17.25" customHeight="1">
      <c r="A336" s="111">
        <v>111</v>
      </c>
      <c r="B336" s="112">
        <v>25</v>
      </c>
      <c r="C336" s="113" t="s">
        <v>218</v>
      </c>
      <c r="D336" s="117" t="s">
        <v>226</v>
      </c>
      <c r="E336" s="116">
        <v>1122</v>
      </c>
      <c r="F336" s="183"/>
      <c r="G336" s="183"/>
    </row>
    <row r="337" spans="1:7" ht="17.25" customHeight="1">
      <c r="A337" s="112">
        <v>112</v>
      </c>
      <c r="B337" s="112">
        <v>16</v>
      </c>
      <c r="C337" s="113" t="s">
        <v>218</v>
      </c>
      <c r="D337" s="117" t="s">
        <v>443</v>
      </c>
      <c r="E337" s="113">
        <v>732</v>
      </c>
      <c r="F337" s="183"/>
      <c r="G337" s="183"/>
    </row>
    <row r="338" spans="1:7" ht="17.25" customHeight="1">
      <c r="A338" s="111">
        <v>113</v>
      </c>
      <c r="B338" s="112">
        <v>25</v>
      </c>
      <c r="C338" s="113" t="s">
        <v>218</v>
      </c>
      <c r="D338" s="117" t="s">
        <v>226</v>
      </c>
      <c r="E338" s="104">
        <v>1122</v>
      </c>
      <c r="F338" s="183"/>
      <c r="G338" s="183"/>
    </row>
    <row r="339" spans="1:7" ht="17.25" customHeight="1">
      <c r="A339" s="112">
        <v>114</v>
      </c>
      <c r="B339" s="112">
        <v>25</v>
      </c>
      <c r="C339" s="113" t="s">
        <v>218</v>
      </c>
      <c r="D339" s="117" t="s">
        <v>226</v>
      </c>
      <c r="E339" s="104">
        <v>1132</v>
      </c>
      <c r="F339" s="183"/>
      <c r="G339" s="183"/>
    </row>
    <row r="340" spans="1:7" ht="17.25" customHeight="1">
      <c r="A340" s="112">
        <v>115</v>
      </c>
      <c r="B340" s="112">
        <v>10</v>
      </c>
      <c r="C340" s="113" t="s">
        <v>218</v>
      </c>
      <c r="D340" s="117" t="s">
        <v>444</v>
      </c>
      <c r="E340" s="104">
        <v>449</v>
      </c>
      <c r="F340" s="183"/>
      <c r="G340" s="183"/>
    </row>
    <row r="341" spans="1:7" ht="17.25" customHeight="1">
      <c r="A341" s="184"/>
      <c r="B341" s="185">
        <f>SUM(B332:B340)</f>
        <v>186</v>
      </c>
      <c r="C341" s="185"/>
      <c r="D341" s="185"/>
      <c r="E341" s="185">
        <f>SUM(E332:E340)</f>
        <v>12862</v>
      </c>
      <c r="F341" s="183"/>
      <c r="G341" s="183"/>
    </row>
    <row r="342" spans="1:7" ht="17.25" customHeight="1">
      <c r="A342" s="189" t="s">
        <v>14</v>
      </c>
      <c r="B342" s="125">
        <f>B341</f>
        <v>186</v>
      </c>
      <c r="C342" s="125"/>
      <c r="D342" s="125"/>
      <c r="E342" s="125">
        <f>E341</f>
        <v>12862</v>
      </c>
      <c r="F342" s="183"/>
      <c r="G342" s="183"/>
    </row>
    <row r="343" spans="1:7" ht="17.25" customHeight="1">
      <c r="A343" s="192"/>
      <c r="B343" s="126"/>
      <c r="C343" s="127"/>
      <c r="D343" s="125"/>
      <c r="E343" s="125"/>
      <c r="F343" s="183"/>
      <c r="G343" s="183"/>
    </row>
    <row r="344" spans="1:7" ht="26.25" customHeight="1">
      <c r="A344" s="325" t="s">
        <v>692</v>
      </c>
      <c r="B344" s="326"/>
      <c r="C344" s="326"/>
      <c r="D344" s="326"/>
      <c r="E344" s="326"/>
      <c r="F344" s="183"/>
      <c r="G344" s="183"/>
    </row>
    <row r="345" spans="1:7" ht="28.5" customHeight="1">
      <c r="A345" s="40" t="s">
        <v>212</v>
      </c>
      <c r="B345" s="40" t="s">
        <v>213</v>
      </c>
      <c r="C345" s="40" t="s">
        <v>214</v>
      </c>
      <c r="D345" s="40" t="s">
        <v>215</v>
      </c>
      <c r="E345" s="39" t="s">
        <v>216</v>
      </c>
      <c r="F345" s="183"/>
      <c r="G345" s="183"/>
    </row>
    <row r="346" spans="1:7" ht="17.25" customHeight="1">
      <c r="A346" s="318" t="s">
        <v>223</v>
      </c>
      <c r="B346" s="319"/>
      <c r="C346" s="320"/>
      <c r="D346" s="40"/>
      <c r="E346" s="39"/>
      <c r="F346" s="183"/>
      <c r="G346" s="183"/>
    </row>
    <row r="347" spans="1:7" ht="17.25" customHeight="1">
      <c r="A347" s="60" t="s">
        <v>446</v>
      </c>
      <c r="B347" s="60">
        <v>11</v>
      </c>
      <c r="C347" s="60" t="s">
        <v>224</v>
      </c>
      <c r="D347" s="105" t="s">
        <v>447</v>
      </c>
      <c r="E347" s="174">
        <v>653.7</v>
      </c>
      <c r="F347" s="183"/>
      <c r="G347" s="183"/>
    </row>
    <row r="348" spans="1:7" ht="17.25" customHeight="1">
      <c r="A348" s="60" t="s">
        <v>448</v>
      </c>
      <c r="B348" s="60">
        <v>3</v>
      </c>
      <c r="C348" s="60" t="s">
        <v>218</v>
      </c>
      <c r="D348" s="105" t="s">
        <v>449</v>
      </c>
      <c r="E348" s="174">
        <v>235.05</v>
      </c>
      <c r="F348" s="183"/>
      <c r="G348" s="183"/>
    </row>
    <row r="349" spans="1:7" ht="17.25" customHeight="1">
      <c r="A349" s="60" t="s">
        <v>450</v>
      </c>
      <c r="B349" s="60">
        <v>1</v>
      </c>
      <c r="C349" s="40" t="s">
        <v>455</v>
      </c>
      <c r="D349" s="105" t="s">
        <v>456</v>
      </c>
      <c r="E349" s="174">
        <v>50</v>
      </c>
      <c r="F349" s="183"/>
      <c r="G349" s="183"/>
    </row>
    <row r="350" spans="1:7" ht="17.25" customHeight="1">
      <c r="A350" s="40"/>
      <c r="B350" s="189">
        <f>SUM(B347:B349)</f>
        <v>15</v>
      </c>
      <c r="C350" s="189"/>
      <c r="D350" s="189"/>
      <c r="E350" s="189">
        <f>SUM(E347:E349)</f>
        <v>938.75</v>
      </c>
      <c r="F350" s="183"/>
      <c r="G350" s="183"/>
    </row>
    <row r="351" spans="1:7" ht="17.25" customHeight="1">
      <c r="A351" s="318" t="s">
        <v>217</v>
      </c>
      <c r="B351" s="319"/>
      <c r="C351" s="320"/>
      <c r="D351" s="40"/>
      <c r="E351" s="39"/>
      <c r="F351" s="183"/>
      <c r="G351" s="183"/>
    </row>
    <row r="352" spans="1:7" ht="17.25" customHeight="1">
      <c r="A352" s="60" t="s">
        <v>451</v>
      </c>
      <c r="B352" s="60">
        <v>5</v>
      </c>
      <c r="C352" s="40" t="s">
        <v>224</v>
      </c>
      <c r="D352" s="105" t="s">
        <v>452</v>
      </c>
      <c r="E352" s="174">
        <v>300</v>
      </c>
      <c r="F352" s="183"/>
      <c r="G352" s="183"/>
    </row>
    <row r="353" spans="1:7" ht="17.25" customHeight="1">
      <c r="A353" s="60" t="s">
        <v>453</v>
      </c>
      <c r="B353" s="60">
        <v>5</v>
      </c>
      <c r="C353" s="40" t="s">
        <v>460</v>
      </c>
      <c r="D353" s="105" t="s">
        <v>458</v>
      </c>
      <c r="E353" s="174">
        <v>304</v>
      </c>
      <c r="F353" s="183"/>
      <c r="G353" s="183"/>
    </row>
    <row r="354" spans="1:7" ht="17.25" customHeight="1">
      <c r="A354" s="60" t="s">
        <v>454</v>
      </c>
      <c r="B354" s="60">
        <v>4</v>
      </c>
      <c r="C354" s="40" t="s">
        <v>457</v>
      </c>
      <c r="D354" s="105" t="s">
        <v>459</v>
      </c>
      <c r="E354" s="174">
        <v>165</v>
      </c>
      <c r="F354" s="183"/>
      <c r="G354" s="183"/>
    </row>
    <row r="355" spans="1:7" ht="17.25" customHeight="1">
      <c r="A355" s="40"/>
      <c r="B355" s="189">
        <f>SUM(B352:B354)</f>
        <v>14</v>
      </c>
      <c r="C355" s="189"/>
      <c r="D355" s="189"/>
      <c r="E355" s="189">
        <f>SUM(E352:E354)</f>
        <v>769</v>
      </c>
      <c r="F355" s="183"/>
      <c r="G355" s="183"/>
    </row>
    <row r="356" spans="1:7" ht="17.25" customHeight="1">
      <c r="A356" s="189" t="s">
        <v>14</v>
      </c>
      <c r="B356" s="125">
        <f>B350+B355</f>
        <v>29</v>
      </c>
      <c r="C356" s="125"/>
      <c r="D356" s="125"/>
      <c r="E356" s="125">
        <f>E350+E355</f>
        <v>1707.75</v>
      </c>
      <c r="F356" s="183"/>
      <c r="G356" s="183"/>
    </row>
    <row r="357" spans="1:7" ht="17.25" customHeight="1">
      <c r="A357" s="192"/>
      <c r="B357" s="126"/>
      <c r="C357" s="127"/>
      <c r="D357" s="125"/>
      <c r="E357" s="125"/>
      <c r="F357" s="183"/>
      <c r="G357" s="183"/>
    </row>
    <row r="358" spans="1:7" ht="26.25" customHeight="1">
      <c r="A358" s="325" t="s">
        <v>693</v>
      </c>
      <c r="B358" s="326"/>
      <c r="C358" s="326"/>
      <c r="D358" s="326"/>
      <c r="E358" s="326"/>
      <c r="F358" s="183"/>
      <c r="G358" s="183"/>
    </row>
    <row r="359" spans="1:7" ht="26.25" customHeight="1">
      <c r="A359" s="40" t="s">
        <v>212</v>
      </c>
      <c r="B359" s="40" t="s">
        <v>213</v>
      </c>
      <c r="C359" s="40" t="s">
        <v>214</v>
      </c>
      <c r="D359" s="40" t="s">
        <v>215</v>
      </c>
      <c r="E359" s="39" t="s">
        <v>216</v>
      </c>
      <c r="F359" s="183"/>
      <c r="G359" s="183"/>
    </row>
    <row r="360" spans="1:7" ht="17.25" customHeight="1">
      <c r="A360" s="318" t="s">
        <v>223</v>
      </c>
      <c r="B360" s="319"/>
      <c r="C360" s="320"/>
      <c r="D360" s="40"/>
      <c r="E360" s="39"/>
      <c r="F360" s="183"/>
      <c r="G360" s="183"/>
    </row>
    <row r="361" spans="1:7" ht="17.25" customHeight="1">
      <c r="A361" s="213">
        <v>581</v>
      </c>
      <c r="B361" s="105">
        <v>1</v>
      </c>
      <c r="C361" s="105" t="s">
        <v>225</v>
      </c>
      <c r="D361" s="105" t="s">
        <v>461</v>
      </c>
      <c r="E361" s="105">
        <v>85</v>
      </c>
      <c r="F361" s="183"/>
      <c r="G361" s="183"/>
    </row>
    <row r="362" spans="1:7" ht="17.25" customHeight="1">
      <c r="A362" s="60">
        <v>583</v>
      </c>
      <c r="B362" s="174">
        <v>2</v>
      </c>
      <c r="C362" s="174" t="s">
        <v>228</v>
      </c>
      <c r="D362" s="105" t="s">
        <v>462</v>
      </c>
      <c r="E362" s="174">
        <v>223</v>
      </c>
      <c r="F362" s="183"/>
      <c r="G362" s="183"/>
    </row>
    <row r="363" spans="1:7" ht="17.25" customHeight="1">
      <c r="A363" s="40"/>
      <c r="B363" s="189">
        <f>SUM(B361:B362)</f>
        <v>3</v>
      </c>
      <c r="C363" s="189"/>
      <c r="D363" s="189"/>
      <c r="E363" s="189">
        <f>SUM(E361:E362)</f>
        <v>308</v>
      </c>
      <c r="F363" s="183"/>
      <c r="G363" s="183"/>
    </row>
    <row r="364" spans="1:7" ht="17.25" customHeight="1">
      <c r="A364" s="318" t="s">
        <v>217</v>
      </c>
      <c r="B364" s="319"/>
      <c r="C364" s="320"/>
      <c r="D364" s="40"/>
      <c r="E364" s="39"/>
      <c r="F364" s="183"/>
      <c r="G364" s="183"/>
    </row>
    <row r="365" spans="1:7" ht="17.25" customHeight="1">
      <c r="A365" s="60">
        <v>590</v>
      </c>
      <c r="B365" s="214">
        <v>3</v>
      </c>
      <c r="C365" s="215" t="s">
        <v>466</v>
      </c>
      <c r="D365" s="174" t="s">
        <v>463</v>
      </c>
      <c r="E365" s="174">
        <v>183</v>
      </c>
      <c r="F365" s="183"/>
      <c r="G365" s="183"/>
    </row>
    <row r="366" spans="1:7" ht="17.25" customHeight="1">
      <c r="A366" s="60">
        <v>584</v>
      </c>
      <c r="B366" s="174">
        <v>2</v>
      </c>
      <c r="C366" s="132" t="s">
        <v>243</v>
      </c>
      <c r="D366" s="105" t="s">
        <v>464</v>
      </c>
      <c r="E366" s="174">
        <v>555</v>
      </c>
      <c r="F366" s="183"/>
      <c r="G366" s="183"/>
    </row>
    <row r="367" spans="1:7" ht="17.25" customHeight="1">
      <c r="A367" s="60">
        <v>585</v>
      </c>
      <c r="B367" s="174">
        <v>10</v>
      </c>
      <c r="C367" s="132" t="s">
        <v>467</v>
      </c>
      <c r="D367" s="105" t="s">
        <v>472</v>
      </c>
      <c r="E367" s="174">
        <v>1500</v>
      </c>
      <c r="F367" s="183"/>
      <c r="G367" s="183"/>
    </row>
    <row r="368" spans="1:7" ht="17.25" customHeight="1">
      <c r="A368" s="60">
        <v>586</v>
      </c>
      <c r="B368" s="174">
        <v>20</v>
      </c>
      <c r="C368" s="132" t="s">
        <v>468</v>
      </c>
      <c r="D368" s="105" t="s">
        <v>473</v>
      </c>
      <c r="E368" s="174">
        <v>2100</v>
      </c>
      <c r="F368" s="183"/>
      <c r="G368" s="183"/>
    </row>
    <row r="369" spans="1:7" ht="17.25" customHeight="1">
      <c r="A369" s="60">
        <v>588</v>
      </c>
      <c r="B369" s="174">
        <v>12</v>
      </c>
      <c r="C369" s="132" t="s">
        <v>469</v>
      </c>
      <c r="D369" s="105" t="s">
        <v>474</v>
      </c>
      <c r="E369" s="174">
        <v>1260</v>
      </c>
      <c r="F369" s="183"/>
      <c r="G369" s="183"/>
    </row>
    <row r="370" spans="1:7" ht="17.25" customHeight="1">
      <c r="A370" s="60">
        <v>589</v>
      </c>
      <c r="B370" s="174">
        <v>4</v>
      </c>
      <c r="C370" s="132" t="s">
        <v>240</v>
      </c>
      <c r="D370" s="105" t="s">
        <v>465</v>
      </c>
      <c r="E370" s="174">
        <v>835</v>
      </c>
      <c r="F370" s="183"/>
      <c r="G370" s="183"/>
    </row>
    <row r="371" spans="1:7" ht="17.25" customHeight="1">
      <c r="A371" s="60">
        <v>579</v>
      </c>
      <c r="B371" s="174">
        <v>20</v>
      </c>
      <c r="C371" s="174" t="s">
        <v>225</v>
      </c>
      <c r="D371" s="174" t="s">
        <v>470</v>
      </c>
      <c r="E371" s="174">
        <v>1200</v>
      </c>
      <c r="F371" s="183"/>
      <c r="G371" s="183"/>
    </row>
    <row r="372" spans="1:7" ht="17.25" customHeight="1">
      <c r="A372" s="60">
        <v>580</v>
      </c>
      <c r="B372" s="174">
        <v>2</v>
      </c>
      <c r="C372" s="174" t="s">
        <v>225</v>
      </c>
      <c r="D372" s="174" t="s">
        <v>289</v>
      </c>
      <c r="E372" s="174">
        <v>120</v>
      </c>
      <c r="F372" s="183"/>
      <c r="G372" s="183"/>
    </row>
    <row r="373" spans="1:7" ht="17.25" customHeight="1">
      <c r="A373" s="40">
        <v>582</v>
      </c>
      <c r="B373" s="174">
        <v>4</v>
      </c>
      <c r="C373" s="215" t="s">
        <v>466</v>
      </c>
      <c r="D373" s="174" t="s">
        <v>471</v>
      </c>
      <c r="E373" s="174">
        <v>180</v>
      </c>
      <c r="F373" s="183"/>
      <c r="G373" s="183"/>
    </row>
    <row r="374" spans="1:7" ht="17.25" customHeight="1">
      <c r="A374" s="60">
        <v>591</v>
      </c>
      <c r="B374" s="174">
        <v>2</v>
      </c>
      <c r="C374" s="174" t="s">
        <v>228</v>
      </c>
      <c r="D374" s="174" t="s">
        <v>289</v>
      </c>
      <c r="E374" s="174">
        <v>158</v>
      </c>
      <c r="F374" s="183"/>
      <c r="G374" s="183"/>
    </row>
    <row r="375" spans="1:7" ht="17.25" customHeight="1">
      <c r="A375" s="40"/>
      <c r="B375" s="189">
        <f>SUM(B365:B374)</f>
        <v>79</v>
      </c>
      <c r="C375" s="189"/>
      <c r="D375" s="189"/>
      <c r="E375" s="189">
        <f>SUM(E365:E374)</f>
        <v>8091</v>
      </c>
      <c r="F375" s="183"/>
      <c r="G375" s="183"/>
    </row>
    <row r="376" spans="1:7" ht="17.25" customHeight="1">
      <c r="A376" s="318" t="s">
        <v>230</v>
      </c>
      <c r="B376" s="319"/>
      <c r="C376" s="320"/>
      <c r="D376" s="189"/>
      <c r="E376" s="189"/>
      <c r="F376" s="183"/>
      <c r="G376" s="183"/>
    </row>
    <row r="377" spans="1:7" ht="17.25" customHeight="1">
      <c r="A377" s="60">
        <v>587</v>
      </c>
      <c r="B377" s="174">
        <v>3</v>
      </c>
      <c r="C377" s="174" t="s">
        <v>225</v>
      </c>
      <c r="D377" s="174" t="s">
        <v>239</v>
      </c>
      <c r="E377" s="174">
        <v>120</v>
      </c>
      <c r="F377" s="183"/>
      <c r="G377" s="183"/>
    </row>
    <row r="378" spans="1:7" ht="17.25" customHeight="1">
      <c r="A378" s="40"/>
      <c r="B378" s="189">
        <f>B377</f>
        <v>3</v>
      </c>
      <c r="C378" s="189"/>
      <c r="D378" s="189"/>
      <c r="E378" s="189">
        <f>E377</f>
        <v>120</v>
      </c>
      <c r="F378" s="183"/>
      <c r="G378" s="183"/>
    </row>
    <row r="379" spans="1:7" ht="17.25" customHeight="1">
      <c r="A379" s="189" t="s">
        <v>14</v>
      </c>
      <c r="B379" s="125">
        <f>B363+B375+B378</f>
        <v>85</v>
      </c>
      <c r="C379" s="125"/>
      <c r="D379" s="125"/>
      <c r="E379" s="125">
        <f>E363+E375+E378</f>
        <v>8519</v>
      </c>
      <c r="F379" s="183"/>
      <c r="G379" s="183"/>
    </row>
    <row r="380" spans="1:7" ht="17.25" customHeight="1">
      <c r="A380" s="192"/>
      <c r="B380" s="126"/>
      <c r="C380" s="127"/>
      <c r="D380" s="125"/>
      <c r="E380" s="125"/>
      <c r="F380" s="183"/>
      <c r="G380" s="183"/>
    </row>
    <row r="381" spans="1:7" ht="29.25" customHeight="1">
      <c r="A381" s="325" t="s">
        <v>694</v>
      </c>
      <c r="B381" s="326"/>
      <c r="C381" s="326"/>
      <c r="D381" s="326"/>
      <c r="E381" s="326"/>
      <c r="F381" s="183"/>
      <c r="G381" s="183"/>
    </row>
    <row r="382" spans="1:7" ht="23.25" customHeight="1">
      <c r="A382" s="40" t="s">
        <v>212</v>
      </c>
      <c r="B382" s="40" t="s">
        <v>213</v>
      </c>
      <c r="C382" s="40" t="s">
        <v>214</v>
      </c>
      <c r="D382" s="40" t="s">
        <v>215</v>
      </c>
      <c r="E382" s="39" t="s">
        <v>216</v>
      </c>
      <c r="F382" s="183"/>
      <c r="G382" s="183"/>
    </row>
    <row r="383" spans="1:7" ht="17.25" customHeight="1">
      <c r="A383" s="318" t="s">
        <v>223</v>
      </c>
      <c r="B383" s="319"/>
      <c r="C383" s="320"/>
      <c r="D383" s="40"/>
      <c r="E383" s="39"/>
      <c r="F383" s="183"/>
      <c r="G383" s="183"/>
    </row>
    <row r="384" spans="1:7" ht="17.25" customHeight="1">
      <c r="A384" s="40">
        <v>909</v>
      </c>
      <c r="B384" s="60">
        <v>8</v>
      </c>
      <c r="C384" s="60" t="s">
        <v>225</v>
      </c>
      <c r="D384" s="40" t="s">
        <v>476</v>
      </c>
      <c r="E384" s="40">
        <v>638</v>
      </c>
      <c r="F384" s="183"/>
      <c r="G384" s="183"/>
    </row>
    <row r="385" spans="1:7" ht="17.25" customHeight="1">
      <c r="A385" s="40">
        <v>910</v>
      </c>
      <c r="B385" s="40">
        <v>5</v>
      </c>
      <c r="C385" s="40" t="s">
        <v>228</v>
      </c>
      <c r="D385" s="40" t="s">
        <v>477</v>
      </c>
      <c r="E385" s="40">
        <v>481</v>
      </c>
      <c r="F385" s="183"/>
      <c r="G385" s="183"/>
    </row>
    <row r="386" spans="1:7" ht="17.25" customHeight="1">
      <c r="A386" s="40"/>
      <c r="B386" s="189">
        <f>SUM(B384:B385)</f>
        <v>13</v>
      </c>
      <c r="C386" s="189"/>
      <c r="D386" s="189"/>
      <c r="E386" s="189">
        <f>SUM(E384:E385)</f>
        <v>1119</v>
      </c>
      <c r="F386" s="183"/>
      <c r="G386" s="183"/>
    </row>
    <row r="387" spans="1:7" ht="17.25" customHeight="1">
      <c r="A387" s="318" t="s">
        <v>217</v>
      </c>
      <c r="B387" s="319"/>
      <c r="C387" s="320"/>
      <c r="D387" s="40"/>
      <c r="E387" s="39"/>
      <c r="F387" s="183"/>
      <c r="G387" s="183"/>
    </row>
    <row r="388" spans="1:7" ht="17.25" customHeight="1">
      <c r="A388" s="40">
        <v>915</v>
      </c>
      <c r="B388" s="60">
        <v>4</v>
      </c>
      <c r="C388" s="132" t="s">
        <v>345</v>
      </c>
      <c r="D388" s="40" t="s">
        <v>478</v>
      </c>
      <c r="E388" s="40">
        <v>419</v>
      </c>
      <c r="F388" s="183"/>
      <c r="G388" s="183"/>
    </row>
    <row r="389" spans="1:7" ht="17.25" customHeight="1">
      <c r="A389" s="40">
        <v>916</v>
      </c>
      <c r="B389" s="60">
        <v>11</v>
      </c>
      <c r="C389" s="132" t="s">
        <v>232</v>
      </c>
      <c r="D389" s="40" t="s">
        <v>479</v>
      </c>
      <c r="E389" s="60">
        <v>1320</v>
      </c>
      <c r="F389" s="183"/>
      <c r="G389" s="183"/>
    </row>
    <row r="390" spans="1:7" ht="17.25" customHeight="1">
      <c r="A390" s="40">
        <v>917</v>
      </c>
      <c r="B390" s="40">
        <v>13</v>
      </c>
      <c r="C390" s="190" t="s">
        <v>240</v>
      </c>
      <c r="D390" s="40" t="s">
        <v>480</v>
      </c>
      <c r="E390" s="60">
        <v>2735</v>
      </c>
      <c r="F390" s="183"/>
      <c r="G390" s="183"/>
    </row>
    <row r="391" spans="1:7" ht="17.25" customHeight="1">
      <c r="A391" s="40">
        <v>918</v>
      </c>
      <c r="B391" s="60">
        <v>6</v>
      </c>
      <c r="C391" s="132" t="s">
        <v>243</v>
      </c>
      <c r="D391" s="70" t="s">
        <v>481</v>
      </c>
      <c r="E391" s="60">
        <v>1455</v>
      </c>
      <c r="F391" s="183"/>
      <c r="G391" s="183"/>
    </row>
    <row r="392" spans="1:7" ht="17.25" customHeight="1">
      <c r="A392" s="40">
        <v>911</v>
      </c>
      <c r="B392" s="60">
        <v>2</v>
      </c>
      <c r="C392" s="60" t="s">
        <v>224</v>
      </c>
      <c r="D392" s="105" t="s">
        <v>289</v>
      </c>
      <c r="E392" s="40">
        <v>106</v>
      </c>
      <c r="F392" s="183"/>
      <c r="G392" s="183"/>
    </row>
    <row r="393" spans="1:7" ht="17.25" customHeight="1">
      <c r="A393" s="40">
        <v>912</v>
      </c>
      <c r="B393" s="40">
        <v>16</v>
      </c>
      <c r="C393" s="40" t="s">
        <v>225</v>
      </c>
      <c r="D393" s="105" t="s">
        <v>492</v>
      </c>
      <c r="E393" s="40">
        <v>862</v>
      </c>
      <c r="F393" s="183"/>
      <c r="G393" s="183"/>
    </row>
    <row r="394" spans="1:7" ht="17.25" customHeight="1">
      <c r="A394" s="40">
        <v>913</v>
      </c>
      <c r="B394" s="40">
        <v>4</v>
      </c>
      <c r="C394" s="40" t="s">
        <v>228</v>
      </c>
      <c r="D394" s="105" t="s">
        <v>471</v>
      </c>
      <c r="E394" s="60">
        <v>332</v>
      </c>
      <c r="F394" s="183"/>
      <c r="G394" s="183"/>
    </row>
    <row r="395" spans="1:7" ht="17.25" customHeight="1">
      <c r="A395" s="40">
        <v>914</v>
      </c>
      <c r="B395" s="60">
        <v>6</v>
      </c>
      <c r="C395" s="132" t="s">
        <v>232</v>
      </c>
      <c r="D395" s="105" t="s">
        <v>482</v>
      </c>
      <c r="E395" s="60">
        <v>637</v>
      </c>
      <c r="F395" s="183"/>
      <c r="G395" s="183"/>
    </row>
    <row r="396" spans="1:7" ht="17.25" customHeight="1">
      <c r="A396" s="40"/>
      <c r="B396" s="189">
        <f>SUM(B388:B395)</f>
        <v>62</v>
      </c>
      <c r="C396" s="189"/>
      <c r="D396" s="189"/>
      <c r="E396" s="189">
        <f>SUM(E388:E395)</f>
        <v>7866</v>
      </c>
      <c r="F396" s="183"/>
      <c r="G396" s="183"/>
    </row>
    <row r="397" spans="1:7" ht="17.25" customHeight="1">
      <c r="A397" s="189" t="s">
        <v>14</v>
      </c>
      <c r="B397" s="125">
        <f>B386+B396</f>
        <v>75</v>
      </c>
      <c r="C397" s="125"/>
      <c r="D397" s="125"/>
      <c r="E397" s="125">
        <f>E386+E396</f>
        <v>8985</v>
      </c>
      <c r="F397" s="183"/>
      <c r="G397" s="183"/>
    </row>
    <row r="398" spans="1:7" ht="17.25" customHeight="1">
      <c r="A398" s="203"/>
      <c r="B398" s="126"/>
      <c r="C398" s="127"/>
      <c r="D398" s="125"/>
      <c r="E398" s="125"/>
      <c r="F398" s="183"/>
      <c r="G398" s="183"/>
    </row>
    <row r="399" spans="1:7" ht="30" customHeight="1">
      <c r="A399" s="325" t="s">
        <v>695</v>
      </c>
      <c r="B399" s="326"/>
      <c r="C399" s="326"/>
      <c r="D399" s="326"/>
      <c r="E399" s="326"/>
      <c r="F399" s="183"/>
      <c r="G399" s="183"/>
    </row>
    <row r="400" spans="1:7" ht="24" customHeight="1">
      <c r="A400" s="40" t="s">
        <v>212</v>
      </c>
      <c r="B400" s="40" t="s">
        <v>213</v>
      </c>
      <c r="C400" s="40" t="s">
        <v>214</v>
      </c>
      <c r="D400" s="40" t="s">
        <v>215</v>
      </c>
      <c r="E400" s="39" t="s">
        <v>216</v>
      </c>
      <c r="F400" s="183"/>
      <c r="G400" s="183"/>
    </row>
    <row r="401" spans="1:7" ht="17.25" customHeight="1">
      <c r="A401" s="318" t="s">
        <v>223</v>
      </c>
      <c r="B401" s="319"/>
      <c r="C401" s="320"/>
      <c r="D401" s="40"/>
      <c r="E401" s="39"/>
      <c r="F401" s="183"/>
      <c r="G401" s="183"/>
    </row>
    <row r="402" spans="1:7" ht="17.25" customHeight="1">
      <c r="A402" s="45">
        <v>437</v>
      </c>
      <c r="B402" s="104">
        <v>14</v>
      </c>
      <c r="C402" s="104" t="s">
        <v>228</v>
      </c>
      <c r="D402" s="104" t="s">
        <v>504</v>
      </c>
      <c r="E402" s="104">
        <v>1605</v>
      </c>
      <c r="F402" s="183"/>
      <c r="G402" s="183"/>
    </row>
    <row r="403" spans="1:7" ht="17.25" customHeight="1">
      <c r="A403" s="45">
        <v>437</v>
      </c>
      <c r="B403" s="104">
        <v>1</v>
      </c>
      <c r="C403" s="104" t="s">
        <v>225</v>
      </c>
      <c r="D403" s="104" t="s">
        <v>500</v>
      </c>
      <c r="E403" s="104">
        <v>87</v>
      </c>
      <c r="F403" s="183"/>
      <c r="G403" s="183"/>
    </row>
    <row r="404" spans="1:7" ht="17.25" customHeight="1">
      <c r="A404" s="40"/>
      <c r="B404" s="202">
        <f>SUM(B402:B403)</f>
        <v>15</v>
      </c>
      <c r="C404" s="202"/>
      <c r="D404" s="202"/>
      <c r="E404" s="202">
        <f>SUM(E402:E403)</f>
        <v>1692</v>
      </c>
      <c r="F404" s="183"/>
      <c r="G404" s="183"/>
    </row>
    <row r="405" spans="1:7" ht="17.25" customHeight="1">
      <c r="A405" s="318" t="s">
        <v>217</v>
      </c>
      <c r="B405" s="319"/>
      <c r="C405" s="320"/>
      <c r="D405" s="40"/>
      <c r="E405" s="39"/>
      <c r="F405" s="183"/>
      <c r="G405" s="183"/>
    </row>
    <row r="406" spans="1:7" ht="17.25" customHeight="1">
      <c r="A406" s="45">
        <v>439</v>
      </c>
      <c r="B406" s="104">
        <v>1</v>
      </c>
      <c r="C406" s="108" t="s">
        <v>232</v>
      </c>
      <c r="D406" s="104" t="s">
        <v>501</v>
      </c>
      <c r="E406" s="104">
        <v>120</v>
      </c>
      <c r="F406" s="183"/>
      <c r="G406" s="183"/>
    </row>
    <row r="407" spans="1:7" ht="17.25" customHeight="1">
      <c r="A407" s="45">
        <v>439</v>
      </c>
      <c r="B407" s="104">
        <v>1</v>
      </c>
      <c r="C407" s="108" t="s">
        <v>240</v>
      </c>
      <c r="D407" s="104" t="s">
        <v>502</v>
      </c>
      <c r="E407" s="104">
        <v>231</v>
      </c>
      <c r="F407" s="183"/>
      <c r="G407" s="183"/>
    </row>
    <row r="408" spans="1:7" ht="17.25" customHeight="1">
      <c r="A408" s="45">
        <v>438</v>
      </c>
      <c r="B408" s="104">
        <v>5</v>
      </c>
      <c r="C408" s="104" t="s">
        <v>228</v>
      </c>
      <c r="D408" s="104" t="s">
        <v>288</v>
      </c>
      <c r="E408" s="217">
        <v>450</v>
      </c>
      <c r="F408" s="183"/>
      <c r="G408" s="183"/>
    </row>
    <row r="409" spans="1:7" ht="17.25" customHeight="1">
      <c r="A409" s="45">
        <v>438</v>
      </c>
      <c r="B409" s="104">
        <v>1</v>
      </c>
      <c r="C409" s="108" t="s">
        <v>232</v>
      </c>
      <c r="D409" s="104" t="s">
        <v>503</v>
      </c>
      <c r="E409" s="217">
        <v>104</v>
      </c>
      <c r="F409" s="183"/>
      <c r="G409" s="183"/>
    </row>
    <row r="410" spans="1:7" ht="17.25" customHeight="1">
      <c r="A410" s="40"/>
      <c r="B410" s="202">
        <f>SUM(B406:B409)</f>
        <v>8</v>
      </c>
      <c r="C410" s="202"/>
      <c r="D410" s="202"/>
      <c r="E410" s="202">
        <f>SUM(E406:E409)</f>
        <v>905</v>
      </c>
      <c r="F410" s="183"/>
      <c r="G410" s="183"/>
    </row>
    <row r="411" spans="1:7" ht="17.25" customHeight="1">
      <c r="A411" s="202" t="s">
        <v>14</v>
      </c>
      <c r="B411" s="125">
        <f>B404+B410</f>
        <v>23</v>
      </c>
      <c r="C411" s="125"/>
      <c r="D411" s="125"/>
      <c r="E411" s="125">
        <f>E404+E410</f>
        <v>2597</v>
      </c>
      <c r="F411" s="183"/>
      <c r="G411" s="183"/>
    </row>
    <row r="412" spans="1:7" ht="17.25" customHeight="1">
      <c r="A412" s="205"/>
      <c r="B412" s="126"/>
      <c r="C412" s="127"/>
      <c r="D412" s="125"/>
      <c r="E412" s="125"/>
      <c r="F412" s="183"/>
      <c r="G412" s="183"/>
    </row>
    <row r="413" spans="1:7" ht="30.75" customHeight="1">
      <c r="A413" s="325" t="s">
        <v>696</v>
      </c>
      <c r="B413" s="326"/>
      <c r="C413" s="326"/>
      <c r="D413" s="326"/>
      <c r="E413" s="326"/>
      <c r="F413" s="183"/>
      <c r="G413" s="183"/>
    </row>
    <row r="414" spans="1:7" ht="26.25" customHeight="1">
      <c r="A414" s="40" t="s">
        <v>212</v>
      </c>
      <c r="B414" s="40" t="s">
        <v>213</v>
      </c>
      <c r="C414" s="40" t="s">
        <v>214</v>
      </c>
      <c r="D414" s="40" t="s">
        <v>215</v>
      </c>
      <c r="E414" s="39" t="s">
        <v>216</v>
      </c>
      <c r="F414" s="183"/>
      <c r="G414" s="183"/>
    </row>
    <row r="415" spans="1:7" ht="17.25" customHeight="1">
      <c r="A415" s="318" t="s">
        <v>223</v>
      </c>
      <c r="B415" s="319"/>
      <c r="C415" s="320"/>
      <c r="D415" s="40"/>
      <c r="E415" s="39"/>
      <c r="F415" s="183"/>
      <c r="G415" s="183"/>
    </row>
    <row r="416" spans="1:7" ht="17.25" customHeight="1">
      <c r="A416" s="70">
        <v>1303</v>
      </c>
      <c r="B416" s="91">
        <v>10</v>
      </c>
      <c r="C416" s="91" t="s">
        <v>218</v>
      </c>
      <c r="D416" s="70" t="s">
        <v>535</v>
      </c>
      <c r="E416" s="70">
        <v>792</v>
      </c>
      <c r="F416" s="183"/>
      <c r="G416" s="183"/>
    </row>
    <row r="417" spans="1:7" ht="17.25" customHeight="1">
      <c r="A417" s="40"/>
      <c r="B417" s="266">
        <f>SUM(B416:B416)</f>
        <v>10</v>
      </c>
      <c r="C417" s="266"/>
      <c r="D417" s="221"/>
      <c r="E417" s="221">
        <f>SUM(E416:E416)</f>
        <v>792</v>
      </c>
      <c r="F417" s="183"/>
      <c r="G417" s="183"/>
    </row>
    <row r="418" spans="1:7" ht="17.25" customHeight="1">
      <c r="A418" s="318" t="s">
        <v>217</v>
      </c>
      <c r="B418" s="319"/>
      <c r="C418" s="320"/>
      <c r="D418" s="40"/>
      <c r="E418" s="39"/>
      <c r="F418" s="183"/>
      <c r="G418" s="183"/>
    </row>
    <row r="419" spans="1:7" ht="17.25" customHeight="1">
      <c r="A419" s="136">
        <v>1304</v>
      </c>
      <c r="B419" s="60">
        <v>14</v>
      </c>
      <c r="C419" s="40" t="s">
        <v>218</v>
      </c>
      <c r="D419" s="105" t="s">
        <v>286</v>
      </c>
      <c r="E419" s="60">
        <v>797</v>
      </c>
      <c r="F419" s="183"/>
      <c r="G419" s="183"/>
    </row>
    <row r="420" spans="1:7" ht="17.25" customHeight="1">
      <c r="A420" s="136">
        <v>1305</v>
      </c>
      <c r="B420" s="60">
        <v>19</v>
      </c>
      <c r="C420" s="40" t="s">
        <v>218</v>
      </c>
      <c r="D420" s="40" t="s">
        <v>348</v>
      </c>
      <c r="E420" s="60">
        <v>1069</v>
      </c>
      <c r="F420" s="183"/>
      <c r="G420" s="183"/>
    </row>
    <row r="421" spans="1:7" ht="17.25" customHeight="1">
      <c r="A421" s="207">
        <v>1306</v>
      </c>
      <c r="B421" s="91">
        <v>4</v>
      </c>
      <c r="C421" s="40" t="s">
        <v>237</v>
      </c>
      <c r="D421" s="40" t="s">
        <v>471</v>
      </c>
      <c r="E421" s="91">
        <v>416</v>
      </c>
      <c r="F421" s="183"/>
      <c r="G421" s="183"/>
    </row>
    <row r="422" spans="1:7" ht="17.25" customHeight="1">
      <c r="A422" s="207">
        <v>1307</v>
      </c>
      <c r="B422" s="91">
        <v>3</v>
      </c>
      <c r="C422" s="40" t="s">
        <v>236</v>
      </c>
      <c r="D422" s="40" t="s">
        <v>239</v>
      </c>
      <c r="E422" s="91">
        <v>111</v>
      </c>
      <c r="F422" s="183"/>
      <c r="G422" s="183"/>
    </row>
    <row r="423" spans="1:7" ht="17.25" customHeight="1">
      <c r="A423" s="40"/>
      <c r="B423" s="266">
        <f>SUM(B419:B422)</f>
        <v>40</v>
      </c>
      <c r="C423" s="266"/>
      <c r="D423" s="265"/>
      <c r="E423" s="265">
        <f>SUM(E419:E422)</f>
        <v>2393</v>
      </c>
      <c r="F423" s="183"/>
      <c r="G423" s="183"/>
    </row>
    <row r="424" spans="1:7" ht="17.25" customHeight="1">
      <c r="A424" s="318" t="s">
        <v>230</v>
      </c>
      <c r="B424" s="319"/>
      <c r="C424" s="320"/>
      <c r="D424" s="265"/>
      <c r="E424" s="265"/>
      <c r="F424" s="183"/>
      <c r="G424" s="183"/>
    </row>
    <row r="425" spans="1:7" ht="17.25" customHeight="1">
      <c r="A425" s="207">
        <v>1308</v>
      </c>
      <c r="B425" s="91">
        <v>4</v>
      </c>
      <c r="C425" s="40" t="s">
        <v>218</v>
      </c>
      <c r="D425" s="40" t="s">
        <v>471</v>
      </c>
      <c r="E425" s="91">
        <v>75</v>
      </c>
      <c r="F425" s="183"/>
      <c r="G425" s="183"/>
    </row>
    <row r="426" spans="1:7" ht="17.25" customHeight="1">
      <c r="A426" s="40"/>
      <c r="B426" s="265">
        <f>B425</f>
        <v>4</v>
      </c>
      <c r="C426" s="265"/>
      <c r="D426" s="265"/>
      <c r="E426" s="265">
        <f>E425</f>
        <v>75</v>
      </c>
      <c r="F426" s="183"/>
      <c r="G426" s="183"/>
    </row>
    <row r="427" spans="1:7" ht="17.25" customHeight="1">
      <c r="A427" s="221" t="s">
        <v>14</v>
      </c>
      <c r="B427" s="125">
        <f>B417+B423+B426</f>
        <v>54</v>
      </c>
      <c r="C427" s="125"/>
      <c r="D427" s="125"/>
      <c r="E427" s="125">
        <f>E417+E423+E426</f>
        <v>3260</v>
      </c>
      <c r="F427" s="183"/>
      <c r="G427" s="183"/>
    </row>
    <row r="428" spans="1:7" ht="17.25" customHeight="1">
      <c r="A428" s="223"/>
      <c r="B428" s="126"/>
      <c r="C428" s="127"/>
      <c r="D428" s="125"/>
      <c r="E428" s="125"/>
      <c r="F428" s="183"/>
      <c r="G428" s="183"/>
    </row>
    <row r="429" spans="1:7" ht="33" customHeight="1">
      <c r="A429" s="325" t="s">
        <v>564</v>
      </c>
      <c r="B429" s="326"/>
      <c r="C429" s="326"/>
      <c r="D429" s="326"/>
      <c r="E429" s="326"/>
      <c r="F429" s="183"/>
      <c r="G429" s="183"/>
    </row>
    <row r="430" spans="1:7" ht="23.25" customHeight="1">
      <c r="A430" s="40" t="s">
        <v>212</v>
      </c>
      <c r="B430" s="40" t="s">
        <v>213</v>
      </c>
      <c r="C430" s="40" t="s">
        <v>214</v>
      </c>
      <c r="D430" s="40" t="s">
        <v>215</v>
      </c>
      <c r="E430" s="39" t="s">
        <v>216</v>
      </c>
      <c r="F430" s="183"/>
      <c r="G430" s="183"/>
    </row>
    <row r="431" spans="1:7" ht="21.75" customHeight="1">
      <c r="A431" s="318" t="s">
        <v>223</v>
      </c>
      <c r="B431" s="319"/>
      <c r="C431" s="320"/>
      <c r="D431" s="40"/>
      <c r="E431" s="39"/>
      <c r="F431" s="183"/>
      <c r="G431" s="183"/>
    </row>
    <row r="432" spans="1:7" ht="17.25" customHeight="1">
      <c r="A432" s="40">
        <v>919</v>
      </c>
      <c r="B432" s="60">
        <v>4</v>
      </c>
      <c r="C432" s="60" t="s">
        <v>225</v>
      </c>
      <c r="D432" s="40" t="s">
        <v>536</v>
      </c>
      <c r="E432" s="40">
        <v>327</v>
      </c>
      <c r="F432" s="183"/>
      <c r="G432" s="183"/>
    </row>
    <row r="433" spans="1:7" ht="17.25" customHeight="1">
      <c r="A433" s="40">
        <v>920</v>
      </c>
      <c r="B433" s="40">
        <v>2</v>
      </c>
      <c r="C433" s="40" t="s">
        <v>228</v>
      </c>
      <c r="D433" s="40" t="s">
        <v>537</v>
      </c>
      <c r="E433" s="40">
        <v>194</v>
      </c>
      <c r="F433" s="183"/>
      <c r="G433" s="183"/>
    </row>
    <row r="434" spans="1:7" ht="17.25" customHeight="1">
      <c r="A434" s="40"/>
      <c r="B434" s="222">
        <f>SUM(B432:B433)</f>
        <v>6</v>
      </c>
      <c r="C434" s="222"/>
      <c r="D434" s="222"/>
      <c r="E434" s="222">
        <f>SUM(E432:E433)</f>
        <v>521</v>
      </c>
      <c r="F434" s="183"/>
      <c r="G434" s="183"/>
    </row>
    <row r="435" spans="1:7" ht="17.25" customHeight="1">
      <c r="A435" s="318" t="s">
        <v>217</v>
      </c>
      <c r="B435" s="319"/>
      <c r="C435" s="320"/>
      <c r="D435" s="40"/>
      <c r="E435" s="39"/>
      <c r="F435" s="183"/>
      <c r="G435" s="183"/>
    </row>
    <row r="436" spans="1:7" ht="17.25" customHeight="1">
      <c r="A436" s="40">
        <v>924</v>
      </c>
      <c r="B436" s="60">
        <v>15</v>
      </c>
      <c r="C436" s="60" t="s">
        <v>228</v>
      </c>
      <c r="D436" s="40" t="s">
        <v>539</v>
      </c>
      <c r="E436" s="40">
        <v>1559</v>
      </c>
      <c r="F436" s="183"/>
      <c r="G436" s="183"/>
    </row>
    <row r="437" spans="1:7" ht="17.25" customHeight="1">
      <c r="A437" s="40">
        <v>921</v>
      </c>
      <c r="B437" s="60">
        <v>8</v>
      </c>
      <c r="C437" s="60" t="s">
        <v>225</v>
      </c>
      <c r="D437" s="105" t="s">
        <v>538</v>
      </c>
      <c r="E437" s="40">
        <v>436</v>
      </c>
      <c r="F437" s="183"/>
      <c r="G437" s="183"/>
    </row>
    <row r="438" spans="1:7" ht="17.25" customHeight="1">
      <c r="A438" s="40">
        <v>922</v>
      </c>
      <c r="B438" s="40">
        <v>4</v>
      </c>
      <c r="C438" s="40" t="s">
        <v>228</v>
      </c>
      <c r="D438" s="105" t="s">
        <v>471</v>
      </c>
      <c r="E438" s="40">
        <v>335</v>
      </c>
      <c r="F438" s="183"/>
      <c r="G438" s="183"/>
    </row>
    <row r="439" spans="1:7" ht="17.25" customHeight="1">
      <c r="A439" s="40">
        <v>923</v>
      </c>
      <c r="B439" s="40">
        <v>3</v>
      </c>
      <c r="C439" s="228" t="s">
        <v>232</v>
      </c>
      <c r="D439" s="105" t="s">
        <v>239</v>
      </c>
      <c r="E439" s="60">
        <v>321</v>
      </c>
      <c r="F439" s="183"/>
      <c r="G439" s="183"/>
    </row>
    <row r="440" spans="1:7" ht="17.25" customHeight="1">
      <c r="A440" s="40"/>
      <c r="B440" s="222">
        <f>SUM(B436:B439)</f>
        <v>30</v>
      </c>
      <c r="C440" s="222"/>
      <c r="D440" s="222"/>
      <c r="E440" s="222">
        <f>SUM(E436:E439)</f>
        <v>2651</v>
      </c>
      <c r="F440" s="183"/>
      <c r="G440" s="183"/>
    </row>
    <row r="441" spans="1:7" ht="17.25" customHeight="1">
      <c r="A441" s="222" t="s">
        <v>14</v>
      </c>
      <c r="B441" s="125">
        <f>B434+B440</f>
        <v>36</v>
      </c>
      <c r="C441" s="125"/>
      <c r="D441" s="125"/>
      <c r="E441" s="125">
        <f>E434+E440</f>
        <v>3172</v>
      </c>
      <c r="F441" s="183"/>
      <c r="G441" s="183"/>
    </row>
    <row r="442" spans="1:7" ht="17.25" customHeight="1">
      <c r="A442" s="223"/>
      <c r="B442" s="126"/>
      <c r="C442" s="127"/>
      <c r="D442" s="125"/>
      <c r="E442" s="125"/>
      <c r="F442" s="183"/>
      <c r="G442" s="183"/>
    </row>
    <row r="443" spans="1:7" ht="26.25" customHeight="1">
      <c r="A443" s="325" t="s">
        <v>697</v>
      </c>
      <c r="B443" s="326"/>
      <c r="C443" s="326"/>
      <c r="D443" s="326"/>
      <c r="E443" s="326"/>
      <c r="F443" s="183"/>
      <c r="G443" s="183"/>
    </row>
    <row r="444" spans="1:7" ht="24" customHeight="1">
      <c r="A444" s="40" t="s">
        <v>212</v>
      </c>
      <c r="B444" s="40" t="s">
        <v>213</v>
      </c>
      <c r="C444" s="40" t="s">
        <v>214</v>
      </c>
      <c r="D444" s="40" t="s">
        <v>215</v>
      </c>
      <c r="E444" s="39" t="s">
        <v>216</v>
      </c>
      <c r="F444" s="183"/>
      <c r="G444" s="183"/>
    </row>
    <row r="445" spans="1:7" ht="18.75" customHeight="1">
      <c r="A445" s="318" t="s">
        <v>223</v>
      </c>
      <c r="B445" s="319"/>
      <c r="C445" s="320"/>
      <c r="D445" s="40"/>
      <c r="E445" s="39"/>
      <c r="F445" s="183"/>
      <c r="G445" s="183"/>
    </row>
    <row r="446" spans="1:7" ht="17.25" customHeight="1">
      <c r="A446" s="209">
        <v>119</v>
      </c>
      <c r="B446" s="209">
        <v>12</v>
      </c>
      <c r="C446" s="232" t="s">
        <v>237</v>
      </c>
      <c r="D446" s="211" t="s">
        <v>541</v>
      </c>
      <c r="E446" s="232">
        <v>1246</v>
      </c>
      <c r="F446" s="183"/>
      <c r="G446" s="183"/>
    </row>
    <row r="447" spans="1:7" ht="17.25" customHeight="1">
      <c r="A447" s="40"/>
      <c r="B447" s="222">
        <f>SUM(B446:B446)</f>
        <v>12</v>
      </c>
      <c r="C447" s="222"/>
      <c r="D447" s="222"/>
      <c r="E447" s="222">
        <f>SUM(E446:E446)</f>
        <v>1246</v>
      </c>
      <c r="F447" s="183"/>
      <c r="G447" s="183"/>
    </row>
    <row r="448" spans="1:7" ht="17.25" customHeight="1">
      <c r="A448" s="318" t="s">
        <v>217</v>
      </c>
      <c r="B448" s="319"/>
      <c r="C448" s="320"/>
      <c r="D448" s="40"/>
      <c r="E448" s="39"/>
      <c r="F448" s="183"/>
      <c r="G448" s="183"/>
    </row>
    <row r="449" spans="1:7" ht="47.25" customHeight="1">
      <c r="A449" s="111">
        <v>122</v>
      </c>
      <c r="B449" s="112">
        <v>31</v>
      </c>
      <c r="C449" s="124" t="s">
        <v>362</v>
      </c>
      <c r="D449" s="117" t="s">
        <v>542</v>
      </c>
      <c r="E449" s="116">
        <v>3316</v>
      </c>
      <c r="F449" s="183">
        <f>B450+B451+B452+B454+B455+B456</f>
        <v>129</v>
      </c>
      <c r="G449" s="183"/>
    </row>
    <row r="450" spans="1:7" ht="17.25" customHeight="1">
      <c r="A450" s="111">
        <v>120</v>
      </c>
      <c r="B450" s="112">
        <v>23</v>
      </c>
      <c r="C450" s="113" t="s">
        <v>218</v>
      </c>
      <c r="D450" s="117" t="s">
        <v>343</v>
      </c>
      <c r="E450" s="116">
        <v>1071</v>
      </c>
      <c r="F450" s="183"/>
      <c r="G450" s="183"/>
    </row>
    <row r="451" spans="1:7" ht="17.25" customHeight="1">
      <c r="A451" s="111">
        <v>123</v>
      </c>
      <c r="B451" s="112">
        <v>5</v>
      </c>
      <c r="C451" s="113" t="s">
        <v>218</v>
      </c>
      <c r="D451" s="117" t="s">
        <v>288</v>
      </c>
      <c r="E451" s="116">
        <v>233</v>
      </c>
      <c r="F451" s="183"/>
      <c r="G451" s="183"/>
    </row>
    <row r="452" spans="1:7" ht="17.25" customHeight="1">
      <c r="A452" s="111">
        <v>124</v>
      </c>
      <c r="B452" s="112">
        <v>14</v>
      </c>
      <c r="C452" s="113" t="s">
        <v>218</v>
      </c>
      <c r="D452" s="117" t="s">
        <v>286</v>
      </c>
      <c r="E452" s="104">
        <v>656</v>
      </c>
      <c r="F452" s="183"/>
      <c r="G452" s="183"/>
    </row>
    <row r="453" spans="1:7" ht="17.25" customHeight="1">
      <c r="A453" s="40">
        <v>125</v>
      </c>
      <c r="B453" s="174">
        <v>2</v>
      </c>
      <c r="C453" s="174" t="s">
        <v>237</v>
      </c>
      <c r="D453" s="105" t="s">
        <v>543</v>
      </c>
      <c r="E453" s="174">
        <v>200</v>
      </c>
      <c r="F453" s="183"/>
      <c r="G453" s="183"/>
    </row>
    <row r="454" spans="1:7" ht="17.25" customHeight="1">
      <c r="A454" s="111">
        <v>98</v>
      </c>
      <c r="B454" s="112">
        <v>27</v>
      </c>
      <c r="C454" s="113" t="s">
        <v>225</v>
      </c>
      <c r="D454" s="117" t="s">
        <v>257</v>
      </c>
      <c r="E454" s="112">
        <v>1286</v>
      </c>
      <c r="F454" s="183"/>
      <c r="G454" s="183"/>
    </row>
    <row r="455" spans="1:7" ht="17.25" customHeight="1">
      <c r="A455" s="111">
        <v>99</v>
      </c>
      <c r="B455" s="112">
        <v>30</v>
      </c>
      <c r="C455" s="113" t="s">
        <v>225</v>
      </c>
      <c r="D455" s="117" t="s">
        <v>259</v>
      </c>
      <c r="E455" s="112">
        <v>1365</v>
      </c>
      <c r="F455" s="183"/>
      <c r="G455" s="183"/>
    </row>
    <row r="456" spans="1:7" ht="17.25" customHeight="1">
      <c r="A456" s="111">
        <v>100</v>
      </c>
      <c r="B456" s="112">
        <v>30</v>
      </c>
      <c r="C456" s="113" t="s">
        <v>225</v>
      </c>
      <c r="D456" s="117" t="s">
        <v>259</v>
      </c>
      <c r="E456" s="112">
        <v>1374</v>
      </c>
      <c r="F456" s="183"/>
      <c r="G456" s="183"/>
    </row>
    <row r="457" spans="1:7" ht="17.25" customHeight="1">
      <c r="A457" s="40"/>
      <c r="B457" s="222">
        <f>SUM(B449:B456)</f>
        <v>162</v>
      </c>
      <c r="C457" s="267"/>
      <c r="D457" s="267"/>
      <c r="E457" s="267">
        <f>SUM(E449:E456)</f>
        <v>9501</v>
      </c>
      <c r="F457" s="183"/>
      <c r="G457" s="183"/>
    </row>
    <row r="458" spans="1:7" ht="17.25" customHeight="1">
      <c r="A458" s="318" t="s">
        <v>230</v>
      </c>
      <c r="B458" s="319"/>
      <c r="C458" s="320"/>
      <c r="D458" s="222"/>
      <c r="E458" s="222"/>
      <c r="F458" s="183"/>
      <c r="G458" s="183"/>
    </row>
    <row r="459" spans="1:7" ht="17.25" customHeight="1">
      <c r="A459" s="111">
        <v>121</v>
      </c>
      <c r="B459" s="112">
        <v>3</v>
      </c>
      <c r="C459" s="113" t="s">
        <v>218</v>
      </c>
      <c r="D459" s="233" t="s">
        <v>239</v>
      </c>
      <c r="E459" s="179">
        <v>102</v>
      </c>
      <c r="F459" s="183"/>
      <c r="G459" s="183"/>
    </row>
    <row r="460" spans="1:7" ht="17.25" customHeight="1">
      <c r="A460" s="40"/>
      <c r="B460" s="222">
        <f>B459</f>
        <v>3</v>
      </c>
      <c r="C460" s="222"/>
      <c r="D460" s="222"/>
      <c r="E460" s="222">
        <f>E459</f>
        <v>102</v>
      </c>
      <c r="F460" s="183"/>
      <c r="G460" s="183"/>
    </row>
    <row r="461" spans="1:7" ht="17.25" customHeight="1">
      <c r="A461" s="222" t="s">
        <v>14</v>
      </c>
      <c r="B461" s="125">
        <f>B447+B457+B460</f>
        <v>177</v>
      </c>
      <c r="C461" s="125"/>
      <c r="D461" s="125"/>
      <c r="E461" s="125">
        <f>E447+E457+E460</f>
        <v>10849</v>
      </c>
      <c r="F461" s="183"/>
      <c r="G461" s="183"/>
    </row>
    <row r="462" spans="1:7" ht="17.25" customHeight="1">
      <c r="A462" s="225"/>
      <c r="B462" s="126"/>
      <c r="C462" s="127"/>
      <c r="D462" s="125"/>
      <c r="E462" s="125"/>
      <c r="F462" s="183"/>
      <c r="G462" s="183"/>
    </row>
    <row r="463" spans="1:7" ht="25.5" customHeight="1">
      <c r="A463" s="325" t="s">
        <v>565</v>
      </c>
      <c r="B463" s="326"/>
      <c r="C463" s="326"/>
      <c r="D463" s="326"/>
      <c r="E463" s="326"/>
      <c r="F463" s="183"/>
      <c r="G463" s="183"/>
    </row>
    <row r="464" spans="1:7" ht="22.5" customHeight="1">
      <c r="A464" s="40" t="s">
        <v>212</v>
      </c>
      <c r="B464" s="40" t="s">
        <v>213</v>
      </c>
      <c r="C464" s="40" t="s">
        <v>214</v>
      </c>
      <c r="D464" s="40" t="s">
        <v>215</v>
      </c>
      <c r="E464" s="39" t="s">
        <v>216</v>
      </c>
      <c r="F464" s="183"/>
      <c r="G464" s="183"/>
    </row>
    <row r="465" spans="1:7" ht="17.25" customHeight="1">
      <c r="A465" s="318" t="s">
        <v>223</v>
      </c>
      <c r="B465" s="319"/>
      <c r="C465" s="320"/>
      <c r="D465" s="40"/>
      <c r="E465" s="39"/>
      <c r="F465" s="183"/>
      <c r="G465" s="183"/>
    </row>
    <row r="466" spans="1:7" ht="17.25" customHeight="1">
      <c r="A466" s="60">
        <v>24002</v>
      </c>
      <c r="B466" s="174">
        <v>1</v>
      </c>
      <c r="C466" s="105" t="s">
        <v>224</v>
      </c>
      <c r="D466" s="105" t="s">
        <v>546</v>
      </c>
      <c r="E466" s="174">
        <v>54</v>
      </c>
      <c r="F466" s="183"/>
      <c r="G466" s="183"/>
    </row>
    <row r="467" spans="1:7" ht="17.25" customHeight="1">
      <c r="A467" s="60">
        <v>24003</v>
      </c>
      <c r="B467" s="174">
        <v>1</v>
      </c>
      <c r="C467" s="105" t="s">
        <v>225</v>
      </c>
      <c r="D467" s="105" t="s">
        <v>547</v>
      </c>
      <c r="E467" s="174">
        <v>87</v>
      </c>
      <c r="F467" s="183"/>
      <c r="G467" s="183"/>
    </row>
    <row r="468" spans="1:7" ht="17.25" customHeight="1">
      <c r="A468" s="60">
        <v>24004</v>
      </c>
      <c r="B468" s="174">
        <v>3</v>
      </c>
      <c r="C468" s="105" t="s">
        <v>228</v>
      </c>
      <c r="D468" s="105" t="s">
        <v>548</v>
      </c>
      <c r="E468" s="174">
        <v>355</v>
      </c>
      <c r="F468" s="183"/>
      <c r="G468" s="183"/>
    </row>
    <row r="469" spans="1:7" ht="17.25" customHeight="1">
      <c r="A469" s="40"/>
      <c r="B469" s="224">
        <f>SUM(B466:B468)</f>
        <v>5</v>
      </c>
      <c r="C469" s="224"/>
      <c r="D469" s="224"/>
      <c r="E469" s="224">
        <f>SUM(E466:E468)</f>
        <v>496</v>
      </c>
      <c r="F469" s="183"/>
      <c r="G469" s="183"/>
    </row>
    <row r="470" spans="1:7" ht="17.25" customHeight="1">
      <c r="A470" s="318" t="s">
        <v>217</v>
      </c>
      <c r="B470" s="319"/>
      <c r="C470" s="320"/>
      <c r="D470" s="40"/>
      <c r="E470" s="39"/>
      <c r="F470" s="183"/>
      <c r="G470" s="183"/>
    </row>
    <row r="471" spans="1:7" ht="17.25" customHeight="1">
      <c r="A471" s="60">
        <v>24005</v>
      </c>
      <c r="B471" s="174">
        <v>1</v>
      </c>
      <c r="C471" s="174" t="s">
        <v>224</v>
      </c>
      <c r="D471" s="105" t="s">
        <v>549</v>
      </c>
      <c r="E471" s="174">
        <v>56</v>
      </c>
      <c r="F471" s="183"/>
      <c r="G471" s="183"/>
    </row>
    <row r="472" spans="1:7" ht="17.25" customHeight="1">
      <c r="A472" s="60">
        <v>24006</v>
      </c>
      <c r="B472" s="174">
        <v>5</v>
      </c>
      <c r="C472" s="132" t="s">
        <v>240</v>
      </c>
      <c r="D472" s="105" t="s">
        <v>550</v>
      </c>
      <c r="E472" s="174">
        <v>1048</v>
      </c>
      <c r="F472" s="183"/>
      <c r="G472" s="183"/>
    </row>
    <row r="473" spans="1:7" ht="17.25" customHeight="1">
      <c r="A473" s="60">
        <v>24007</v>
      </c>
      <c r="B473" s="174">
        <v>1</v>
      </c>
      <c r="C473" s="132" t="s">
        <v>243</v>
      </c>
      <c r="D473" s="105" t="s">
        <v>551</v>
      </c>
      <c r="E473" s="174">
        <v>300</v>
      </c>
      <c r="F473" s="183"/>
      <c r="G473" s="183"/>
    </row>
    <row r="474" spans="1:7" ht="17.25" customHeight="1">
      <c r="A474" s="60">
        <v>24009</v>
      </c>
      <c r="B474" s="198">
        <v>1</v>
      </c>
      <c r="C474" s="228" t="s">
        <v>553</v>
      </c>
      <c r="D474" s="178" t="s">
        <v>552</v>
      </c>
      <c r="E474" s="198">
        <v>780</v>
      </c>
      <c r="F474" s="183"/>
      <c r="G474" s="183"/>
    </row>
    <row r="475" spans="1:7" ht="17.25" customHeight="1">
      <c r="A475" s="60">
        <v>24008</v>
      </c>
      <c r="B475" s="198">
        <v>2</v>
      </c>
      <c r="C475" s="178" t="s">
        <v>228</v>
      </c>
      <c r="D475" s="178" t="s">
        <v>554</v>
      </c>
      <c r="E475" s="198">
        <v>155</v>
      </c>
      <c r="F475" s="183"/>
      <c r="G475" s="183"/>
    </row>
    <row r="476" spans="1:7" ht="17.25" customHeight="1">
      <c r="A476" s="60">
        <v>24008</v>
      </c>
      <c r="B476" s="198">
        <v>1</v>
      </c>
      <c r="C476" s="228" t="s">
        <v>232</v>
      </c>
      <c r="D476" s="234" t="s">
        <v>555</v>
      </c>
      <c r="E476" s="178">
        <v>95</v>
      </c>
      <c r="F476" s="183"/>
      <c r="G476" s="183"/>
    </row>
    <row r="477" spans="1:7" ht="17.25" customHeight="1">
      <c r="A477" s="40">
        <v>23133</v>
      </c>
      <c r="B477" s="40">
        <v>30</v>
      </c>
      <c r="C477" s="40" t="s">
        <v>228</v>
      </c>
      <c r="D477" s="40" t="s">
        <v>523</v>
      </c>
      <c r="E477" s="40">
        <v>2884</v>
      </c>
      <c r="F477" s="183"/>
      <c r="G477" s="183"/>
    </row>
    <row r="478" spans="1:7" ht="17.25" customHeight="1">
      <c r="A478" s="40">
        <v>23134</v>
      </c>
      <c r="B478" s="40">
        <v>30</v>
      </c>
      <c r="C478" s="40" t="s">
        <v>228</v>
      </c>
      <c r="D478" s="218" t="s">
        <v>524</v>
      </c>
      <c r="E478" s="40">
        <v>2877</v>
      </c>
      <c r="F478" s="183"/>
      <c r="G478" s="183"/>
    </row>
    <row r="479" spans="1:7" ht="17.25" customHeight="1">
      <c r="A479" s="40">
        <v>23135</v>
      </c>
      <c r="B479" s="40">
        <v>30</v>
      </c>
      <c r="C479" s="40" t="s">
        <v>228</v>
      </c>
      <c r="D479" s="40" t="s">
        <v>525</v>
      </c>
      <c r="E479" s="40">
        <v>2881</v>
      </c>
      <c r="F479" s="183"/>
      <c r="G479" s="183"/>
    </row>
    <row r="480" spans="1:7" ht="17.25" customHeight="1">
      <c r="A480" s="40">
        <v>23136</v>
      </c>
      <c r="B480" s="40">
        <v>30</v>
      </c>
      <c r="C480" s="40" t="s">
        <v>228</v>
      </c>
      <c r="D480" s="40" t="s">
        <v>526</v>
      </c>
      <c r="E480" s="40">
        <v>2928</v>
      </c>
      <c r="F480" s="183"/>
      <c r="G480" s="183"/>
    </row>
    <row r="481" spans="1:7" ht="17.25" customHeight="1">
      <c r="A481" s="40">
        <v>23137</v>
      </c>
      <c r="B481" s="40">
        <v>30</v>
      </c>
      <c r="C481" s="40" t="s">
        <v>228</v>
      </c>
      <c r="D481" s="60" t="s">
        <v>527</v>
      </c>
      <c r="E481" s="40">
        <v>2946</v>
      </c>
      <c r="F481" s="183"/>
      <c r="G481" s="183"/>
    </row>
    <row r="482" spans="1:7" ht="17.25" customHeight="1">
      <c r="A482" s="40">
        <v>23138</v>
      </c>
      <c r="B482" s="40">
        <v>28</v>
      </c>
      <c r="C482" s="40" t="s">
        <v>228</v>
      </c>
      <c r="D482" s="40" t="s">
        <v>528</v>
      </c>
      <c r="E482" s="40">
        <v>2751</v>
      </c>
      <c r="F482" s="183"/>
      <c r="G482" s="183"/>
    </row>
    <row r="483" spans="1:7" ht="17.25" customHeight="1">
      <c r="A483" s="40"/>
      <c r="B483" s="224">
        <f>SUM(B471:B482)</f>
        <v>189</v>
      </c>
      <c r="C483" s="265"/>
      <c r="D483" s="265"/>
      <c r="E483" s="265">
        <f>SUM(E471:E482)</f>
        <v>19701</v>
      </c>
      <c r="F483" s="183"/>
      <c r="G483" s="183"/>
    </row>
    <row r="484" spans="1:7" ht="17.25" customHeight="1">
      <c r="A484" s="318" t="s">
        <v>229</v>
      </c>
      <c r="B484" s="319"/>
      <c r="C484" s="320"/>
      <c r="D484" s="224"/>
      <c r="E484" s="224"/>
      <c r="F484" s="183"/>
      <c r="G484" s="183"/>
    </row>
    <row r="485" spans="1:7" ht="17.25" customHeight="1">
      <c r="A485" s="42">
        <v>24001</v>
      </c>
      <c r="B485" s="60">
        <v>2</v>
      </c>
      <c r="C485" s="40" t="s">
        <v>218</v>
      </c>
      <c r="D485" s="70" t="s">
        <v>295</v>
      </c>
      <c r="E485" s="40">
        <v>120</v>
      </c>
      <c r="F485" s="183"/>
      <c r="G485" s="183"/>
    </row>
    <row r="486" spans="1:7" ht="17.25" customHeight="1">
      <c r="A486" s="40"/>
      <c r="B486" s="224">
        <f>B485</f>
        <v>2</v>
      </c>
      <c r="C486" s="224"/>
      <c r="D486" s="224"/>
      <c r="E486" s="224">
        <f>E485</f>
        <v>120</v>
      </c>
      <c r="F486" s="183"/>
      <c r="G486" s="183"/>
    </row>
    <row r="487" spans="1:7" ht="17.25" customHeight="1">
      <c r="A487" s="224" t="s">
        <v>14</v>
      </c>
      <c r="B487" s="125">
        <f>B469+B483+B486</f>
        <v>196</v>
      </c>
      <c r="C487" s="125"/>
      <c r="D487" s="125"/>
      <c r="E487" s="125">
        <f>E469+E483+E486</f>
        <v>20317</v>
      </c>
      <c r="F487" s="183"/>
      <c r="G487" s="183"/>
    </row>
    <row r="488" spans="1:7" ht="17.25" customHeight="1">
      <c r="A488" s="239"/>
      <c r="B488" s="126"/>
      <c r="C488" s="127"/>
      <c r="D488" s="125"/>
      <c r="E488" s="125"/>
      <c r="F488" s="183"/>
      <c r="G488" s="183"/>
    </row>
    <row r="489" spans="1:7" ht="27" customHeight="1">
      <c r="A489" s="325" t="s">
        <v>698</v>
      </c>
      <c r="B489" s="326"/>
      <c r="C489" s="326"/>
      <c r="D489" s="326"/>
      <c r="E489" s="326"/>
      <c r="F489" s="183"/>
      <c r="G489" s="183"/>
    </row>
    <row r="490" spans="1:7" ht="24" customHeight="1">
      <c r="A490" s="40" t="s">
        <v>212</v>
      </c>
      <c r="B490" s="40" t="s">
        <v>213</v>
      </c>
      <c r="C490" s="40" t="s">
        <v>214</v>
      </c>
      <c r="D490" s="40" t="s">
        <v>215</v>
      </c>
      <c r="E490" s="39" t="s">
        <v>216</v>
      </c>
      <c r="F490" s="183"/>
      <c r="G490" s="183"/>
    </row>
    <row r="491" spans="1:7" ht="17.25" customHeight="1">
      <c r="A491" s="318" t="s">
        <v>223</v>
      </c>
      <c r="B491" s="319"/>
      <c r="C491" s="320"/>
      <c r="D491" s="40"/>
      <c r="E491" s="39"/>
      <c r="F491" s="183"/>
      <c r="G491" s="183"/>
    </row>
    <row r="492" spans="1:7" ht="17.25" customHeight="1">
      <c r="A492" s="40">
        <v>1129</v>
      </c>
      <c r="B492" s="60">
        <v>21</v>
      </c>
      <c r="C492" s="60" t="s">
        <v>228</v>
      </c>
      <c r="D492" s="40" t="s">
        <v>566</v>
      </c>
      <c r="E492" s="40">
        <v>2240</v>
      </c>
      <c r="F492" s="183"/>
      <c r="G492" s="183"/>
    </row>
    <row r="493" spans="1:7" ht="17.25" customHeight="1">
      <c r="A493" s="40"/>
      <c r="B493" s="238">
        <f>SUM(B492:B492)</f>
        <v>21</v>
      </c>
      <c r="C493" s="238"/>
      <c r="D493" s="238"/>
      <c r="E493" s="238">
        <f>SUM(E492:E492)</f>
        <v>2240</v>
      </c>
      <c r="F493" s="183"/>
      <c r="G493" s="183"/>
    </row>
    <row r="494" spans="1:7" ht="17.25" customHeight="1">
      <c r="A494" s="318" t="s">
        <v>217</v>
      </c>
      <c r="B494" s="319"/>
      <c r="C494" s="320"/>
      <c r="D494" s="40"/>
      <c r="E494" s="39"/>
      <c r="F494" s="183"/>
      <c r="G494" s="183"/>
    </row>
    <row r="495" spans="1:7" ht="31.5" customHeight="1">
      <c r="A495" s="40">
        <v>1130</v>
      </c>
      <c r="B495" s="60">
        <v>15</v>
      </c>
      <c r="C495" s="132" t="s">
        <v>232</v>
      </c>
      <c r="D495" s="40" t="s">
        <v>567</v>
      </c>
      <c r="E495" s="40">
        <v>1390</v>
      </c>
      <c r="F495" s="183"/>
      <c r="G495" s="183"/>
    </row>
    <row r="496" spans="1:7" ht="17.25" customHeight="1">
      <c r="A496" s="40">
        <v>1131</v>
      </c>
      <c r="B496" s="40">
        <v>5</v>
      </c>
      <c r="C496" s="228" t="s">
        <v>240</v>
      </c>
      <c r="D496" s="40" t="s">
        <v>568</v>
      </c>
      <c r="E496" s="40">
        <v>824</v>
      </c>
      <c r="F496" s="183"/>
      <c r="G496" s="183"/>
    </row>
    <row r="497" spans="1:7" ht="17.25" customHeight="1">
      <c r="A497" s="40">
        <v>1132</v>
      </c>
      <c r="B497" s="40">
        <v>2</v>
      </c>
      <c r="C497" s="228" t="s">
        <v>243</v>
      </c>
      <c r="D497" s="91" t="s">
        <v>569</v>
      </c>
      <c r="E497" s="40">
        <v>497</v>
      </c>
      <c r="F497" s="183"/>
      <c r="G497" s="183"/>
    </row>
    <row r="498" spans="1:7" ht="17.25" customHeight="1">
      <c r="A498" s="70">
        <v>1125</v>
      </c>
      <c r="B498" s="91">
        <v>22</v>
      </c>
      <c r="C498" s="91" t="s">
        <v>228</v>
      </c>
      <c r="D498" s="107" t="s">
        <v>365</v>
      </c>
      <c r="E498" s="106">
        <v>2261</v>
      </c>
      <c r="F498" s="183"/>
      <c r="G498" s="183"/>
    </row>
    <row r="499" spans="1:7" ht="17.25" customHeight="1">
      <c r="A499" s="40">
        <v>1126</v>
      </c>
      <c r="B499" s="40">
        <v>20</v>
      </c>
      <c r="C499" s="91" t="s">
        <v>225</v>
      </c>
      <c r="D499" s="107" t="s">
        <v>470</v>
      </c>
      <c r="E499" s="105">
        <v>1866</v>
      </c>
      <c r="F499" s="183"/>
      <c r="G499" s="183"/>
    </row>
    <row r="500" spans="1:7" ht="17.25" customHeight="1">
      <c r="A500" s="40">
        <v>1127</v>
      </c>
      <c r="B500" s="40">
        <v>21</v>
      </c>
      <c r="C500" s="91" t="s">
        <v>225</v>
      </c>
      <c r="D500" s="107" t="s">
        <v>570</v>
      </c>
      <c r="E500" s="105">
        <v>1988</v>
      </c>
      <c r="F500" s="183"/>
      <c r="G500" s="183"/>
    </row>
    <row r="501" spans="1:7" ht="17.25" customHeight="1">
      <c r="A501" s="40"/>
      <c r="B501" s="238">
        <f>SUM(B495:B500)</f>
        <v>85</v>
      </c>
      <c r="C501" s="238"/>
      <c r="D501" s="238"/>
      <c r="E501" s="238">
        <f>SUM(E495:E500)</f>
        <v>8826</v>
      </c>
      <c r="F501" s="183"/>
      <c r="G501" s="183"/>
    </row>
    <row r="502" spans="1:7" ht="17.25" customHeight="1">
      <c r="A502" s="318" t="s">
        <v>230</v>
      </c>
      <c r="B502" s="319"/>
      <c r="C502" s="320"/>
      <c r="D502" s="238"/>
      <c r="E502" s="238"/>
      <c r="F502" s="183"/>
      <c r="G502" s="183"/>
    </row>
    <row r="503" spans="1:7" ht="17.25" customHeight="1">
      <c r="A503" s="40">
        <v>1128</v>
      </c>
      <c r="B503" s="60">
        <v>1</v>
      </c>
      <c r="C503" s="60" t="s">
        <v>225</v>
      </c>
      <c r="D503" s="91" t="s">
        <v>571</v>
      </c>
      <c r="E503" s="40">
        <v>52</v>
      </c>
      <c r="F503" s="183"/>
      <c r="G503" s="183"/>
    </row>
    <row r="504" spans="1:7" ht="17.25" customHeight="1">
      <c r="A504" s="40"/>
      <c r="B504" s="238">
        <f>B503</f>
        <v>1</v>
      </c>
      <c r="C504" s="238"/>
      <c r="D504" s="238"/>
      <c r="E504" s="238">
        <f>E503</f>
        <v>52</v>
      </c>
      <c r="F504" s="183"/>
      <c r="G504" s="183"/>
    </row>
    <row r="505" spans="1:7" ht="17.25" customHeight="1">
      <c r="A505" s="238" t="s">
        <v>14</v>
      </c>
      <c r="B505" s="125">
        <f>B493+B501+B504</f>
        <v>107</v>
      </c>
      <c r="C505" s="125"/>
      <c r="D505" s="125"/>
      <c r="E505" s="125">
        <f>E493+E501+E504</f>
        <v>11118</v>
      </c>
      <c r="F505" s="183"/>
      <c r="G505" s="183"/>
    </row>
    <row r="506" spans="1:7" ht="17.25" customHeight="1">
      <c r="A506" s="239"/>
      <c r="B506" s="126"/>
      <c r="C506" s="127"/>
      <c r="D506" s="125"/>
      <c r="E506" s="125"/>
      <c r="F506" s="183"/>
      <c r="G506" s="183"/>
    </row>
    <row r="507" spans="1:7" ht="30.75" customHeight="1">
      <c r="A507" s="325" t="s">
        <v>699</v>
      </c>
      <c r="B507" s="326"/>
      <c r="C507" s="326"/>
      <c r="D507" s="326"/>
      <c r="E507" s="326"/>
      <c r="F507" s="183"/>
      <c r="G507" s="183"/>
    </row>
    <row r="508" spans="1:7" ht="28.5" customHeight="1">
      <c r="A508" s="40" t="s">
        <v>212</v>
      </c>
      <c r="B508" s="40" t="s">
        <v>213</v>
      </c>
      <c r="C508" s="40" t="s">
        <v>214</v>
      </c>
      <c r="D508" s="40" t="s">
        <v>215</v>
      </c>
      <c r="E508" s="39" t="s">
        <v>216</v>
      </c>
      <c r="F508" s="183"/>
      <c r="G508" s="183"/>
    </row>
    <row r="509" spans="1:7" ht="17.25" customHeight="1">
      <c r="A509" s="318" t="s">
        <v>223</v>
      </c>
      <c r="B509" s="319"/>
      <c r="C509" s="320"/>
      <c r="D509" s="40"/>
      <c r="E509" s="39"/>
      <c r="F509" s="183"/>
      <c r="G509" s="183"/>
    </row>
    <row r="510" spans="1:7" ht="17.25" customHeight="1">
      <c r="A510" s="70">
        <v>770</v>
      </c>
      <c r="B510" s="40">
        <v>3</v>
      </c>
      <c r="C510" s="40" t="s">
        <v>225</v>
      </c>
      <c r="D510" s="40" t="s">
        <v>580</v>
      </c>
      <c r="E510" s="40">
        <v>216</v>
      </c>
      <c r="F510" s="183"/>
      <c r="G510" s="183"/>
    </row>
    <row r="511" spans="1:7" ht="27.75" customHeight="1">
      <c r="A511" s="40">
        <v>771</v>
      </c>
      <c r="B511" s="40">
        <v>20</v>
      </c>
      <c r="C511" s="40" t="s">
        <v>228</v>
      </c>
      <c r="D511" s="40" t="s">
        <v>581</v>
      </c>
      <c r="E511" s="40">
        <v>2098</v>
      </c>
      <c r="F511" s="183"/>
      <c r="G511" s="183"/>
    </row>
    <row r="512" spans="1:7" ht="17.25" customHeight="1">
      <c r="A512" s="40"/>
      <c r="B512" s="238">
        <f>SUM(B510:B511)</f>
        <v>23</v>
      </c>
      <c r="C512" s="238"/>
      <c r="D512" s="238"/>
      <c r="E512" s="238">
        <f>SUM(E510:E511)</f>
        <v>2314</v>
      </c>
      <c r="F512" s="183"/>
      <c r="G512" s="183"/>
    </row>
    <row r="513" spans="1:7" ht="17.25" customHeight="1">
      <c r="A513" s="318" t="s">
        <v>217</v>
      </c>
      <c r="B513" s="319"/>
      <c r="C513" s="320"/>
      <c r="D513" s="40"/>
      <c r="E513" s="39"/>
      <c r="F513" s="183"/>
      <c r="G513" s="183"/>
    </row>
    <row r="514" spans="1:7" ht="17.25" customHeight="1">
      <c r="A514" s="40">
        <v>774</v>
      </c>
      <c r="B514" s="60">
        <v>2</v>
      </c>
      <c r="C514" s="132" t="s">
        <v>232</v>
      </c>
      <c r="D514" s="178" t="s">
        <v>582</v>
      </c>
      <c r="E514" s="40">
        <v>203</v>
      </c>
      <c r="F514" s="183"/>
      <c r="G514" s="183"/>
    </row>
    <row r="515" spans="1:7" ht="17.25" customHeight="1">
      <c r="A515" s="40">
        <v>775</v>
      </c>
      <c r="B515" s="178">
        <v>3</v>
      </c>
      <c r="C515" s="132" t="s">
        <v>240</v>
      </c>
      <c r="D515" s="178" t="s">
        <v>583</v>
      </c>
      <c r="E515" s="178">
        <v>607</v>
      </c>
      <c r="F515" s="183"/>
      <c r="G515" s="183"/>
    </row>
    <row r="516" spans="1:7" ht="17.25" customHeight="1">
      <c r="A516" s="40">
        <v>776</v>
      </c>
      <c r="B516" s="40">
        <v>2</v>
      </c>
      <c r="C516" s="132" t="s">
        <v>243</v>
      </c>
      <c r="D516" s="40" t="s">
        <v>584</v>
      </c>
      <c r="E516" s="40">
        <v>542</v>
      </c>
      <c r="F516" s="183"/>
      <c r="G516" s="183"/>
    </row>
    <row r="517" spans="1:7" ht="17.25" customHeight="1">
      <c r="A517" s="45">
        <v>772</v>
      </c>
      <c r="B517" s="104">
        <v>15</v>
      </c>
      <c r="C517" s="104" t="s">
        <v>218</v>
      </c>
      <c r="D517" s="104" t="s">
        <v>585</v>
      </c>
      <c r="E517" s="104">
        <v>1093</v>
      </c>
      <c r="F517" s="183"/>
      <c r="G517" s="183"/>
    </row>
    <row r="518" spans="1:7" ht="17.25" customHeight="1">
      <c r="A518" s="45">
        <v>773</v>
      </c>
      <c r="B518" s="104">
        <v>3</v>
      </c>
      <c r="C518" s="104" t="s">
        <v>237</v>
      </c>
      <c r="D518" s="104" t="s">
        <v>586</v>
      </c>
      <c r="E518" s="104">
        <v>240</v>
      </c>
      <c r="F518" s="183"/>
      <c r="G518" s="183"/>
    </row>
    <row r="519" spans="1:7" ht="17.25" customHeight="1">
      <c r="A519" s="40"/>
      <c r="B519" s="238">
        <f>SUM(B514:B518)</f>
        <v>25</v>
      </c>
      <c r="C519" s="238"/>
      <c r="D519" s="238"/>
      <c r="E519" s="238">
        <f>SUM(E514:E518)</f>
        <v>2685</v>
      </c>
      <c r="F519" s="183"/>
      <c r="G519" s="183"/>
    </row>
    <row r="520" spans="1:7" ht="17.25" customHeight="1">
      <c r="A520" s="238" t="s">
        <v>14</v>
      </c>
      <c r="B520" s="125">
        <f>B512+B519</f>
        <v>48</v>
      </c>
      <c r="C520" s="125"/>
      <c r="D520" s="125"/>
      <c r="E520" s="125">
        <f>E512+E519</f>
        <v>4999</v>
      </c>
      <c r="F520" s="183"/>
      <c r="G520" s="183"/>
    </row>
    <row r="521" spans="1:7" ht="17.25" customHeight="1">
      <c r="A521" s="239"/>
      <c r="B521" s="126"/>
      <c r="C521" s="127"/>
      <c r="D521" s="125"/>
      <c r="E521" s="125"/>
      <c r="F521" s="183"/>
      <c r="G521" s="183"/>
    </row>
    <row r="522" spans="1:7" ht="31.5" customHeight="1">
      <c r="A522" s="325" t="s">
        <v>700</v>
      </c>
      <c r="B522" s="326"/>
      <c r="C522" s="326"/>
      <c r="D522" s="326"/>
      <c r="E522" s="326"/>
      <c r="F522" s="183"/>
      <c r="G522" s="183"/>
    </row>
    <row r="523" spans="1:7" ht="24" customHeight="1">
      <c r="A523" s="40" t="s">
        <v>212</v>
      </c>
      <c r="B523" s="40" t="s">
        <v>213</v>
      </c>
      <c r="C523" s="40" t="s">
        <v>214</v>
      </c>
      <c r="D523" s="40" t="s">
        <v>215</v>
      </c>
      <c r="E523" s="39" t="s">
        <v>216</v>
      </c>
      <c r="F523" s="183"/>
      <c r="G523" s="183"/>
    </row>
    <row r="524" spans="1:7" ht="17.25" customHeight="1">
      <c r="A524" s="318" t="s">
        <v>223</v>
      </c>
      <c r="B524" s="319"/>
      <c r="C524" s="320"/>
      <c r="D524" s="40"/>
      <c r="E524" s="39"/>
      <c r="F524" s="183"/>
      <c r="G524" s="183"/>
    </row>
    <row r="525" spans="1:7" ht="17.25" customHeight="1">
      <c r="A525" s="60">
        <v>444</v>
      </c>
      <c r="B525" s="60">
        <v>11</v>
      </c>
      <c r="C525" s="60" t="s">
        <v>228</v>
      </c>
      <c r="D525" s="91" t="s">
        <v>587</v>
      </c>
      <c r="E525" s="60">
        <v>1303</v>
      </c>
      <c r="F525" s="183"/>
      <c r="G525" s="183"/>
    </row>
    <row r="526" spans="1:7" ht="17.25" customHeight="1">
      <c r="A526" s="40"/>
      <c r="B526" s="238">
        <f>SUM(B525:B525)</f>
        <v>11</v>
      </c>
      <c r="C526" s="238"/>
      <c r="D526" s="238"/>
      <c r="E526" s="238">
        <f>SUM(E525:E525)</f>
        <v>1303</v>
      </c>
      <c r="F526" s="183"/>
      <c r="G526" s="183"/>
    </row>
    <row r="527" spans="1:7" ht="17.25" customHeight="1">
      <c r="A527" s="318" t="s">
        <v>217</v>
      </c>
      <c r="B527" s="319"/>
      <c r="C527" s="320"/>
      <c r="D527" s="40"/>
      <c r="E527" s="39"/>
      <c r="F527" s="183"/>
      <c r="G527" s="183"/>
    </row>
    <row r="528" spans="1:7" ht="17.25" customHeight="1">
      <c r="A528" s="40">
        <v>441</v>
      </c>
      <c r="B528" s="178">
        <v>1</v>
      </c>
      <c r="C528" s="178" t="s">
        <v>228</v>
      </c>
      <c r="D528" s="178" t="s">
        <v>320</v>
      </c>
      <c r="E528" s="178">
        <v>104</v>
      </c>
      <c r="F528" s="183"/>
      <c r="G528" s="183"/>
    </row>
    <row r="529" spans="1:7" ht="17.25" customHeight="1">
      <c r="A529" s="40">
        <v>442</v>
      </c>
      <c r="B529" s="178">
        <v>1</v>
      </c>
      <c r="C529" s="228" t="s">
        <v>232</v>
      </c>
      <c r="D529" s="178" t="s">
        <v>320</v>
      </c>
      <c r="E529" s="178">
        <v>124</v>
      </c>
      <c r="F529" s="183"/>
      <c r="G529" s="183"/>
    </row>
    <row r="530" spans="1:7" ht="17.25" customHeight="1">
      <c r="A530" s="40">
        <v>442</v>
      </c>
      <c r="B530" s="178">
        <v>1</v>
      </c>
      <c r="C530" s="228" t="s">
        <v>243</v>
      </c>
      <c r="D530" s="178" t="s">
        <v>588</v>
      </c>
      <c r="E530" s="178">
        <v>321</v>
      </c>
      <c r="F530" s="183"/>
      <c r="G530" s="183"/>
    </row>
    <row r="531" spans="1:7" ht="30" customHeight="1">
      <c r="A531" s="40">
        <v>443</v>
      </c>
      <c r="B531" s="178">
        <v>25</v>
      </c>
      <c r="C531" s="228" t="s">
        <v>232</v>
      </c>
      <c r="D531" s="178" t="s">
        <v>589</v>
      </c>
      <c r="E531" s="178">
        <v>3179</v>
      </c>
      <c r="F531" s="183"/>
      <c r="G531" s="183"/>
    </row>
    <row r="532" spans="1:7" ht="17.25" customHeight="1">
      <c r="A532" s="40" t="s">
        <v>590</v>
      </c>
      <c r="B532" s="178">
        <v>25</v>
      </c>
      <c r="C532" s="228" t="s">
        <v>232</v>
      </c>
      <c r="D532" s="178" t="s">
        <v>591</v>
      </c>
      <c r="E532" s="178">
        <v>3206</v>
      </c>
      <c r="F532" s="183"/>
      <c r="G532" s="183"/>
    </row>
    <row r="533" spans="1:7" ht="27.75" customHeight="1">
      <c r="A533" s="60" t="s">
        <v>592</v>
      </c>
      <c r="B533" s="198">
        <v>25</v>
      </c>
      <c r="C533" s="132" t="s">
        <v>232</v>
      </c>
      <c r="D533" s="234" t="s">
        <v>593</v>
      </c>
      <c r="E533" s="198">
        <v>3236</v>
      </c>
      <c r="F533" s="183"/>
      <c r="G533" s="183"/>
    </row>
    <row r="534" spans="1:7" ht="17.25" customHeight="1">
      <c r="A534" s="60">
        <v>440</v>
      </c>
      <c r="B534" s="198">
        <v>6</v>
      </c>
      <c r="C534" s="198" t="s">
        <v>228</v>
      </c>
      <c r="D534" s="104" t="s">
        <v>482</v>
      </c>
      <c r="E534" s="199">
        <v>540</v>
      </c>
      <c r="F534" s="183"/>
      <c r="G534" s="183"/>
    </row>
    <row r="535" spans="1:7" ht="17.25" customHeight="1">
      <c r="A535" s="40"/>
      <c r="B535" s="238">
        <f>SUM(B528:B534)</f>
        <v>84</v>
      </c>
      <c r="C535" s="238"/>
      <c r="D535" s="238"/>
      <c r="E535" s="238">
        <f>SUM(E528:E534)</f>
        <v>10710</v>
      </c>
      <c r="F535" s="183"/>
      <c r="G535" s="183"/>
    </row>
    <row r="536" spans="1:7" ht="17.25" customHeight="1">
      <c r="A536" s="318" t="s">
        <v>229</v>
      </c>
      <c r="B536" s="319"/>
      <c r="C536" s="320"/>
      <c r="D536" s="238"/>
      <c r="E536" s="238"/>
      <c r="F536" s="183"/>
      <c r="G536" s="183"/>
    </row>
    <row r="537" spans="1:7" ht="17.25" customHeight="1">
      <c r="A537" s="60">
        <v>444</v>
      </c>
      <c r="B537" s="198">
        <v>1</v>
      </c>
      <c r="C537" s="198" t="s">
        <v>225</v>
      </c>
      <c r="D537" s="249" t="s">
        <v>319</v>
      </c>
      <c r="E537" s="198">
        <v>61</v>
      </c>
      <c r="F537" s="183"/>
      <c r="G537" s="183"/>
    </row>
    <row r="538" spans="1:7" ht="17.25" customHeight="1">
      <c r="A538" s="40"/>
      <c r="B538" s="238">
        <f>B537</f>
        <v>1</v>
      </c>
      <c r="C538" s="238"/>
      <c r="D538" s="238"/>
      <c r="E538" s="238">
        <f>E537</f>
        <v>61</v>
      </c>
      <c r="F538" s="183"/>
      <c r="G538" s="183"/>
    </row>
    <row r="539" spans="1:7" ht="17.25" customHeight="1">
      <c r="A539" s="238" t="s">
        <v>14</v>
      </c>
      <c r="B539" s="125">
        <f>B526+B535+B538</f>
        <v>96</v>
      </c>
      <c r="C539" s="125"/>
      <c r="D539" s="125"/>
      <c r="E539" s="125">
        <f>E526+E535+E538</f>
        <v>12074</v>
      </c>
      <c r="F539" s="183"/>
      <c r="G539" s="183"/>
    </row>
    <row r="540" spans="1:7" ht="17.25" customHeight="1">
      <c r="A540" s="239"/>
      <c r="B540" s="126"/>
      <c r="C540" s="127"/>
      <c r="D540" s="125"/>
      <c r="E540" s="125"/>
      <c r="F540" s="183"/>
      <c r="G540" s="183"/>
    </row>
    <row r="541" spans="1:7" ht="29.25" customHeight="1">
      <c r="A541" s="325" t="s">
        <v>701</v>
      </c>
      <c r="B541" s="326"/>
      <c r="C541" s="326"/>
      <c r="D541" s="326"/>
      <c r="E541" s="326"/>
      <c r="F541" s="183"/>
      <c r="G541" s="183"/>
    </row>
    <row r="542" spans="1:7" ht="27" customHeight="1">
      <c r="A542" s="40" t="s">
        <v>212</v>
      </c>
      <c r="B542" s="40" t="s">
        <v>213</v>
      </c>
      <c r="C542" s="40" t="s">
        <v>214</v>
      </c>
      <c r="D542" s="40" t="s">
        <v>215</v>
      </c>
      <c r="E542" s="39" t="s">
        <v>216</v>
      </c>
      <c r="F542" s="183"/>
      <c r="G542" s="183"/>
    </row>
    <row r="543" spans="1:7" ht="17.25" customHeight="1">
      <c r="A543" s="318" t="s">
        <v>223</v>
      </c>
      <c r="B543" s="319"/>
      <c r="C543" s="320"/>
      <c r="D543" s="40"/>
      <c r="E543" s="39"/>
      <c r="F543" s="183"/>
      <c r="G543" s="183"/>
    </row>
    <row r="544" spans="1:7" ht="17.25" customHeight="1">
      <c r="A544" s="45" t="s">
        <v>628</v>
      </c>
      <c r="B544" s="60">
        <v>6</v>
      </c>
      <c r="C544" s="60" t="s">
        <v>224</v>
      </c>
      <c r="D544" s="91" t="s">
        <v>594</v>
      </c>
      <c r="E544" s="70">
        <v>373</v>
      </c>
      <c r="F544" s="183"/>
      <c r="G544" s="183"/>
    </row>
    <row r="545" spans="1:7" ht="17.25" customHeight="1">
      <c r="A545" s="40" t="s">
        <v>629</v>
      </c>
      <c r="B545" s="40">
        <v>6</v>
      </c>
      <c r="C545" s="40" t="s">
        <v>225</v>
      </c>
      <c r="D545" s="40" t="s">
        <v>595</v>
      </c>
      <c r="E545" s="40">
        <v>468</v>
      </c>
      <c r="F545" s="183"/>
      <c r="G545" s="183"/>
    </row>
    <row r="546" spans="1:7" ht="17.25" customHeight="1">
      <c r="A546" s="40" t="s">
        <v>630</v>
      </c>
      <c r="B546" s="40">
        <v>1</v>
      </c>
      <c r="C546" s="40" t="s">
        <v>228</v>
      </c>
      <c r="D546" s="40" t="s">
        <v>596</v>
      </c>
      <c r="E546" s="40">
        <v>109</v>
      </c>
      <c r="F546" s="183"/>
      <c r="G546" s="183"/>
    </row>
    <row r="547" spans="1:7" ht="17.25" customHeight="1">
      <c r="A547" s="40"/>
      <c r="B547" s="240">
        <f>SUM(B544:B546)</f>
        <v>13</v>
      </c>
      <c r="C547" s="240"/>
      <c r="D547" s="240"/>
      <c r="E547" s="240">
        <f>SUM(E544:E546)</f>
        <v>950</v>
      </c>
      <c r="F547" s="183"/>
      <c r="G547" s="183"/>
    </row>
    <row r="548" spans="1:7" ht="17.25" customHeight="1">
      <c r="A548" s="318" t="s">
        <v>217</v>
      </c>
      <c r="B548" s="319"/>
      <c r="C548" s="320"/>
      <c r="D548" s="40"/>
      <c r="E548" s="39"/>
      <c r="F548" s="183"/>
      <c r="G548" s="183"/>
    </row>
    <row r="549" spans="1:7" ht="17.25" customHeight="1">
      <c r="A549" s="40" t="s">
        <v>631</v>
      </c>
      <c r="B549" s="60">
        <v>5</v>
      </c>
      <c r="C549" s="40" t="s">
        <v>224</v>
      </c>
      <c r="D549" s="60" t="s">
        <v>597</v>
      </c>
      <c r="E549" s="40">
        <v>258</v>
      </c>
      <c r="F549" s="183"/>
      <c r="G549" s="183"/>
    </row>
    <row r="550" spans="1:7" ht="17.25" customHeight="1">
      <c r="A550" s="40" t="s">
        <v>632</v>
      </c>
      <c r="B550" s="40">
        <v>2</v>
      </c>
      <c r="C550" s="228" t="s">
        <v>243</v>
      </c>
      <c r="D550" s="40" t="s">
        <v>598</v>
      </c>
      <c r="E550" s="40">
        <v>640</v>
      </c>
      <c r="F550" s="183"/>
      <c r="G550" s="183"/>
    </row>
    <row r="551" spans="1:7" ht="30.75" customHeight="1">
      <c r="A551" s="40" t="s">
        <v>633</v>
      </c>
      <c r="B551" s="40">
        <v>31</v>
      </c>
      <c r="C551" s="228" t="s">
        <v>599</v>
      </c>
      <c r="D551" s="40" t="s">
        <v>603</v>
      </c>
      <c r="E551" s="40">
        <v>4725</v>
      </c>
      <c r="F551" s="183"/>
      <c r="G551" s="183"/>
    </row>
    <row r="552" spans="1:7" ht="17.25" customHeight="1">
      <c r="A552" s="40" t="s">
        <v>634</v>
      </c>
      <c r="B552" s="40">
        <v>1</v>
      </c>
      <c r="C552" s="40" t="s">
        <v>224</v>
      </c>
      <c r="D552" s="40" t="s">
        <v>601</v>
      </c>
      <c r="E552" s="40">
        <v>52</v>
      </c>
      <c r="F552" s="183"/>
      <c r="G552" s="183"/>
    </row>
    <row r="553" spans="1:7" ht="17.25" customHeight="1">
      <c r="A553" s="40" t="s">
        <v>635</v>
      </c>
      <c r="B553" s="40">
        <v>2</v>
      </c>
      <c r="C553" s="40" t="s">
        <v>225</v>
      </c>
      <c r="D553" s="40" t="s">
        <v>602</v>
      </c>
      <c r="E553" s="40">
        <v>104</v>
      </c>
      <c r="F553" s="183"/>
      <c r="G553" s="183"/>
    </row>
    <row r="554" spans="1:7" ht="17.25" customHeight="1">
      <c r="A554" s="40"/>
      <c r="B554" s="240">
        <f>SUM(B549:B553)</f>
        <v>41</v>
      </c>
      <c r="C554" s="240"/>
      <c r="D554" s="240"/>
      <c r="E554" s="240">
        <f>SUM(E549:E553)</f>
        <v>5779</v>
      </c>
      <c r="F554" s="183"/>
      <c r="G554" s="183"/>
    </row>
    <row r="555" spans="1:7" ht="17.25" customHeight="1">
      <c r="A555" s="318" t="s">
        <v>229</v>
      </c>
      <c r="B555" s="319"/>
      <c r="C555" s="320"/>
      <c r="D555" s="240"/>
      <c r="E555" s="240"/>
      <c r="F555" s="183"/>
      <c r="G555" s="183"/>
    </row>
    <row r="556" spans="1:7" ht="17.25" customHeight="1">
      <c r="A556" s="40" t="s">
        <v>636</v>
      </c>
      <c r="B556" s="60">
        <v>4</v>
      </c>
      <c r="C556" s="60" t="s">
        <v>225</v>
      </c>
      <c r="D556" s="60" t="s">
        <v>600</v>
      </c>
      <c r="E556" s="40">
        <v>252</v>
      </c>
      <c r="F556" s="183"/>
      <c r="G556" s="183"/>
    </row>
    <row r="557" spans="1:7" ht="17.25" customHeight="1">
      <c r="A557" s="40"/>
      <c r="B557" s="240">
        <f>B556</f>
        <v>4</v>
      </c>
      <c r="C557" s="240"/>
      <c r="D557" s="240"/>
      <c r="E557" s="240">
        <f>E556</f>
        <v>252</v>
      </c>
      <c r="F557" s="183"/>
      <c r="G557" s="183"/>
    </row>
    <row r="558" spans="1:7" ht="17.25" customHeight="1">
      <c r="A558" s="240" t="s">
        <v>14</v>
      </c>
      <c r="B558" s="125">
        <f>B547+B554+B557</f>
        <v>58</v>
      </c>
      <c r="C558" s="125"/>
      <c r="D558" s="125"/>
      <c r="E558" s="125">
        <f>E547+E554+E557</f>
        <v>6981</v>
      </c>
      <c r="F558" s="183"/>
      <c r="G558" s="183"/>
    </row>
    <row r="559" spans="1:7" ht="17.25" customHeight="1">
      <c r="A559" s="239"/>
      <c r="B559" s="126"/>
      <c r="C559" s="127"/>
      <c r="D559" s="125"/>
      <c r="E559" s="125"/>
      <c r="F559" s="183"/>
      <c r="G559" s="183"/>
    </row>
    <row r="560" spans="1:7" ht="27" customHeight="1">
      <c r="A560" s="325" t="s">
        <v>702</v>
      </c>
      <c r="B560" s="326"/>
      <c r="C560" s="326"/>
      <c r="D560" s="326"/>
      <c r="E560" s="326"/>
      <c r="F560" s="183"/>
      <c r="G560" s="183"/>
    </row>
    <row r="561" spans="1:7" ht="24.75" customHeight="1">
      <c r="A561" s="40" t="s">
        <v>212</v>
      </c>
      <c r="B561" s="40" t="s">
        <v>213</v>
      </c>
      <c r="C561" s="40" t="s">
        <v>214</v>
      </c>
      <c r="D561" s="40" t="s">
        <v>215</v>
      </c>
      <c r="E561" s="39" t="s">
        <v>216</v>
      </c>
      <c r="F561" s="183"/>
      <c r="G561" s="183"/>
    </row>
    <row r="562" spans="1:7" ht="18.75" customHeight="1">
      <c r="A562" s="318" t="s">
        <v>223</v>
      </c>
      <c r="B562" s="319"/>
      <c r="C562" s="320"/>
      <c r="D562" s="40"/>
      <c r="E562" s="39"/>
      <c r="F562" s="183"/>
      <c r="G562" s="183"/>
    </row>
    <row r="563" spans="1:7" ht="17.25" customHeight="1">
      <c r="A563" s="40">
        <v>1031</v>
      </c>
      <c r="B563" s="60">
        <v>1</v>
      </c>
      <c r="C563" s="60" t="s">
        <v>225</v>
      </c>
      <c r="D563" s="60" t="s">
        <v>604</v>
      </c>
      <c r="E563" s="40">
        <v>72</v>
      </c>
      <c r="F563" s="183"/>
      <c r="G563" s="183"/>
    </row>
    <row r="564" spans="1:7" ht="17.25" customHeight="1">
      <c r="A564" s="40">
        <v>1032</v>
      </c>
      <c r="B564" s="60">
        <v>11</v>
      </c>
      <c r="C564" s="40" t="s">
        <v>237</v>
      </c>
      <c r="D564" s="40" t="s">
        <v>605</v>
      </c>
      <c r="E564" s="40">
        <v>1156</v>
      </c>
      <c r="F564" s="183"/>
      <c r="G564" s="183"/>
    </row>
    <row r="565" spans="1:7" ht="17.25" customHeight="1">
      <c r="A565" s="40"/>
      <c r="B565" s="240">
        <f>SUM(B563:B564)</f>
        <v>12</v>
      </c>
      <c r="C565" s="240"/>
      <c r="D565" s="240"/>
      <c r="E565" s="240">
        <f>SUM(E563:E564)</f>
        <v>1228</v>
      </c>
      <c r="F565" s="183"/>
      <c r="G565" s="183"/>
    </row>
    <row r="566" spans="1:7" ht="17.25" customHeight="1">
      <c r="A566" s="318" t="s">
        <v>217</v>
      </c>
      <c r="B566" s="319"/>
      <c r="C566" s="320"/>
      <c r="D566" s="240"/>
      <c r="E566" s="240"/>
      <c r="F566" s="183"/>
      <c r="G566" s="183"/>
    </row>
    <row r="567" spans="1:7" ht="17.25" customHeight="1">
      <c r="A567" s="70">
        <v>1034</v>
      </c>
      <c r="B567" s="91">
        <v>2</v>
      </c>
      <c r="C567" s="70" t="s">
        <v>236</v>
      </c>
      <c r="D567" s="40" t="s">
        <v>289</v>
      </c>
      <c r="E567" s="70">
        <v>70</v>
      </c>
      <c r="F567" s="183"/>
      <c r="G567" s="183"/>
    </row>
    <row r="568" spans="1:7" ht="17.25" customHeight="1">
      <c r="A568" s="70">
        <v>1035</v>
      </c>
      <c r="B568" s="91">
        <v>1</v>
      </c>
      <c r="C568" s="70" t="s">
        <v>236</v>
      </c>
      <c r="D568" s="40" t="s">
        <v>238</v>
      </c>
      <c r="E568" s="70">
        <v>34</v>
      </c>
      <c r="F568" s="183"/>
      <c r="G568" s="183"/>
    </row>
    <row r="569" spans="1:7" ht="17.25" customHeight="1">
      <c r="A569" s="70">
        <v>1036</v>
      </c>
      <c r="B569" s="91">
        <v>20</v>
      </c>
      <c r="C569" s="70" t="s">
        <v>218</v>
      </c>
      <c r="D569" s="40" t="s">
        <v>470</v>
      </c>
      <c r="E569" s="70">
        <v>1684</v>
      </c>
      <c r="F569" s="183"/>
      <c r="G569" s="183"/>
    </row>
    <row r="570" spans="1:7" ht="17.25" customHeight="1">
      <c r="A570" s="70">
        <v>1037</v>
      </c>
      <c r="B570" s="91">
        <v>19</v>
      </c>
      <c r="C570" s="70" t="s">
        <v>218</v>
      </c>
      <c r="D570" s="40" t="s">
        <v>348</v>
      </c>
      <c r="E570" s="70">
        <v>1692</v>
      </c>
      <c r="F570" s="183"/>
      <c r="G570" s="183"/>
    </row>
    <row r="571" spans="1:7" ht="17.25" customHeight="1">
      <c r="A571" s="70">
        <v>1038</v>
      </c>
      <c r="B571" s="91">
        <v>1</v>
      </c>
      <c r="C571" s="70" t="s">
        <v>228</v>
      </c>
      <c r="D571" s="40" t="s">
        <v>238</v>
      </c>
      <c r="E571" s="70">
        <v>90</v>
      </c>
      <c r="F571" s="183"/>
      <c r="G571" s="183"/>
    </row>
    <row r="572" spans="1:7" ht="21" customHeight="1">
      <c r="A572" s="40">
        <v>1039</v>
      </c>
      <c r="B572" s="60">
        <v>10</v>
      </c>
      <c r="C572" s="228" t="s">
        <v>349</v>
      </c>
      <c r="D572" s="40" t="s">
        <v>606</v>
      </c>
      <c r="E572" s="40">
        <v>1772</v>
      </c>
      <c r="F572" s="183"/>
      <c r="G572" s="183"/>
    </row>
    <row r="573" spans="1:7" ht="17.25" customHeight="1">
      <c r="A573" s="22"/>
      <c r="B573" s="245">
        <f>SUM(B567:B572)</f>
        <v>53</v>
      </c>
      <c r="C573" s="245"/>
      <c r="D573" s="245"/>
      <c r="E573" s="245">
        <f>SUM(E567:E572)</f>
        <v>5342</v>
      </c>
      <c r="F573" s="183"/>
      <c r="G573" s="183"/>
    </row>
    <row r="574" spans="1:7" ht="17.25" customHeight="1">
      <c r="A574" s="318" t="s">
        <v>230</v>
      </c>
      <c r="B574" s="319"/>
      <c r="C574" s="320"/>
      <c r="D574" s="240"/>
      <c r="E574" s="240"/>
      <c r="F574" s="183"/>
      <c r="G574" s="183"/>
    </row>
    <row r="575" spans="1:7" ht="17.25" customHeight="1">
      <c r="A575" s="70">
        <v>1033</v>
      </c>
      <c r="B575" s="91">
        <v>1</v>
      </c>
      <c r="C575" s="70" t="s">
        <v>225</v>
      </c>
      <c r="D575" s="40" t="s">
        <v>238</v>
      </c>
      <c r="E575" s="70">
        <v>45</v>
      </c>
      <c r="F575" s="183"/>
      <c r="G575" s="183"/>
    </row>
    <row r="576" spans="1:7" ht="17.25" customHeight="1">
      <c r="A576" s="40"/>
      <c r="B576" s="240">
        <f>B575</f>
        <v>1</v>
      </c>
      <c r="C576" s="240"/>
      <c r="D576" s="240"/>
      <c r="E576" s="240">
        <f>E575</f>
        <v>45</v>
      </c>
      <c r="F576" s="183"/>
      <c r="G576" s="183"/>
    </row>
    <row r="577" spans="1:7" ht="17.25" customHeight="1">
      <c r="A577" s="240" t="s">
        <v>14</v>
      </c>
      <c r="B577" s="125">
        <f>B565+B576+B573</f>
        <v>66</v>
      </c>
      <c r="C577" s="125"/>
      <c r="D577" s="125"/>
      <c r="E577" s="125">
        <f>E565+E576+E573</f>
        <v>6615</v>
      </c>
      <c r="F577" s="183"/>
      <c r="G577" s="183"/>
    </row>
    <row r="578" spans="1:7" ht="17.25" customHeight="1">
      <c r="A578" s="241"/>
      <c r="B578" s="126"/>
      <c r="C578" s="127"/>
      <c r="D578" s="125"/>
      <c r="E578" s="125"/>
      <c r="F578" s="183"/>
      <c r="G578" s="183"/>
    </row>
    <row r="579" spans="1:7" ht="30" customHeight="1">
      <c r="A579" s="325" t="s">
        <v>703</v>
      </c>
      <c r="B579" s="326"/>
      <c r="C579" s="326"/>
      <c r="D579" s="326"/>
      <c r="E579" s="326"/>
      <c r="F579" s="183"/>
      <c r="G579" s="183"/>
    </row>
    <row r="580" spans="1:7" ht="26.25" customHeight="1">
      <c r="A580" s="40" t="s">
        <v>212</v>
      </c>
      <c r="B580" s="40" t="s">
        <v>213</v>
      </c>
      <c r="C580" s="40" t="s">
        <v>214</v>
      </c>
      <c r="D580" s="40" t="s">
        <v>215</v>
      </c>
      <c r="E580" s="39" t="s">
        <v>216</v>
      </c>
      <c r="F580" s="183"/>
      <c r="G580" s="183"/>
    </row>
    <row r="581" spans="1:7" ht="17.25" customHeight="1">
      <c r="A581" s="318" t="s">
        <v>223</v>
      </c>
      <c r="B581" s="319"/>
      <c r="C581" s="320"/>
      <c r="D581" s="40"/>
      <c r="E581" s="39"/>
      <c r="F581" s="183"/>
      <c r="G581" s="183"/>
    </row>
    <row r="582" spans="1:7" ht="17.25" customHeight="1">
      <c r="A582" s="208">
        <v>126</v>
      </c>
      <c r="B582" s="209">
        <v>3</v>
      </c>
      <c r="C582" s="232" t="s">
        <v>218</v>
      </c>
      <c r="D582" s="105" t="s">
        <v>607</v>
      </c>
      <c r="E582" s="174">
        <v>235</v>
      </c>
      <c r="F582" s="183"/>
      <c r="G582" s="183"/>
    </row>
    <row r="583" spans="1:7" ht="17.25" customHeight="1">
      <c r="A583" s="209">
        <v>127</v>
      </c>
      <c r="B583" s="209">
        <v>1</v>
      </c>
      <c r="C583" s="232" t="s">
        <v>237</v>
      </c>
      <c r="D583" s="211" t="s">
        <v>608</v>
      </c>
      <c r="E583" s="232">
        <v>90</v>
      </c>
      <c r="F583" s="183"/>
      <c r="G583" s="183"/>
    </row>
    <row r="584" spans="1:7" ht="17.25" customHeight="1">
      <c r="A584" s="111">
        <v>131</v>
      </c>
      <c r="B584" s="112">
        <v>4</v>
      </c>
      <c r="C584" s="113" t="s">
        <v>224</v>
      </c>
      <c r="D584" s="104" t="s">
        <v>609</v>
      </c>
      <c r="E584" s="104">
        <v>210</v>
      </c>
      <c r="F584" s="183"/>
      <c r="G584" s="183"/>
    </row>
    <row r="585" spans="1:7" ht="17.25" customHeight="1">
      <c r="A585" s="40"/>
      <c r="B585" s="240">
        <f>SUM(B582:B584)</f>
        <v>8</v>
      </c>
      <c r="C585" s="240"/>
      <c r="D585" s="240"/>
      <c r="E585" s="240">
        <f>SUM(E582:E584)</f>
        <v>535</v>
      </c>
      <c r="F585" s="183"/>
      <c r="G585" s="183"/>
    </row>
    <row r="586" spans="1:7" ht="17.25" customHeight="1">
      <c r="A586" s="318" t="s">
        <v>217</v>
      </c>
      <c r="B586" s="319"/>
      <c r="C586" s="320"/>
      <c r="D586" s="240"/>
      <c r="E586" s="240"/>
      <c r="F586" s="183"/>
      <c r="G586" s="183"/>
    </row>
    <row r="587" spans="1:7" ht="17.25" customHeight="1">
      <c r="A587" s="111">
        <v>132</v>
      </c>
      <c r="B587" s="112">
        <v>9</v>
      </c>
      <c r="C587" s="124" t="s">
        <v>364</v>
      </c>
      <c r="D587" s="250" t="s">
        <v>610</v>
      </c>
      <c r="E587" s="174">
        <v>1266</v>
      </c>
      <c r="F587" s="183"/>
      <c r="G587" s="183"/>
    </row>
    <row r="588" spans="1:7" ht="17.25" customHeight="1">
      <c r="A588" s="111">
        <v>128</v>
      </c>
      <c r="B588" s="112">
        <v>18</v>
      </c>
      <c r="C588" s="113" t="s">
        <v>218</v>
      </c>
      <c r="D588" s="117" t="s">
        <v>227</v>
      </c>
      <c r="E588" s="116">
        <v>836</v>
      </c>
      <c r="F588" s="183"/>
      <c r="G588" s="183"/>
    </row>
    <row r="589" spans="1:7" ht="17.25" customHeight="1">
      <c r="A589" s="111">
        <v>130</v>
      </c>
      <c r="B589" s="112">
        <v>4</v>
      </c>
      <c r="C589" s="251" t="s">
        <v>236</v>
      </c>
      <c r="D589" s="117" t="s">
        <v>471</v>
      </c>
      <c r="E589" s="116">
        <v>132</v>
      </c>
      <c r="F589" s="183"/>
      <c r="G589" s="183"/>
    </row>
    <row r="590" spans="1:7" ht="17.25" customHeight="1">
      <c r="A590" s="22"/>
      <c r="B590" s="245">
        <f>SUM(B587:B589)</f>
        <v>31</v>
      </c>
      <c r="C590" s="245"/>
      <c r="D590" s="245"/>
      <c r="E590" s="245">
        <f>SUM(E587:E589)</f>
        <v>2234</v>
      </c>
      <c r="F590" s="183"/>
      <c r="G590" s="183"/>
    </row>
    <row r="591" spans="1:7" ht="17.25" customHeight="1">
      <c r="A591" s="318" t="s">
        <v>230</v>
      </c>
      <c r="B591" s="319"/>
      <c r="C591" s="320"/>
      <c r="D591" s="245"/>
      <c r="E591" s="245"/>
      <c r="F591" s="183"/>
      <c r="G591" s="183"/>
    </row>
    <row r="592" spans="1:7" ht="17.25" customHeight="1">
      <c r="A592" s="111">
        <v>129</v>
      </c>
      <c r="B592" s="112">
        <v>1</v>
      </c>
      <c r="C592" s="252" t="s">
        <v>218</v>
      </c>
      <c r="D592" s="111" t="s">
        <v>238</v>
      </c>
      <c r="E592" s="112">
        <v>35</v>
      </c>
      <c r="F592" s="183"/>
      <c r="G592" s="183"/>
    </row>
    <row r="593" spans="1:7" ht="17.25" customHeight="1">
      <c r="A593" s="22"/>
      <c r="B593" s="245">
        <f>B592</f>
        <v>1</v>
      </c>
      <c r="C593" s="245"/>
      <c r="D593" s="245"/>
      <c r="E593" s="245">
        <f>E592</f>
        <v>35</v>
      </c>
      <c r="F593" s="183"/>
      <c r="G593" s="183"/>
    </row>
    <row r="594" spans="1:7" ht="17.25" customHeight="1">
      <c r="A594" s="240" t="s">
        <v>14</v>
      </c>
      <c r="B594" s="125">
        <f>B585+B590+B593</f>
        <v>40</v>
      </c>
      <c r="C594" s="125"/>
      <c r="D594" s="125"/>
      <c r="E594" s="125">
        <f>E585+E590+E593</f>
        <v>2804</v>
      </c>
      <c r="F594" s="183"/>
      <c r="G594" s="183"/>
    </row>
    <row r="595" spans="1:7" ht="17.25" customHeight="1">
      <c r="A595" s="244"/>
      <c r="B595" s="126"/>
      <c r="C595" s="127"/>
      <c r="D595" s="125"/>
      <c r="E595" s="125"/>
      <c r="F595" s="183"/>
      <c r="G595" s="183"/>
    </row>
    <row r="596" spans="1:7" ht="30.75" customHeight="1">
      <c r="A596" s="325" t="s">
        <v>704</v>
      </c>
      <c r="B596" s="326"/>
      <c r="C596" s="326"/>
      <c r="D596" s="326"/>
      <c r="E596" s="326"/>
      <c r="F596" s="183"/>
      <c r="G596" s="183"/>
    </row>
    <row r="597" spans="1:7" ht="22.5" customHeight="1">
      <c r="A597" s="40" t="s">
        <v>212</v>
      </c>
      <c r="B597" s="40" t="s">
        <v>213</v>
      </c>
      <c r="C597" s="40" t="s">
        <v>214</v>
      </c>
      <c r="D597" s="40" t="s">
        <v>215</v>
      </c>
      <c r="E597" s="39" t="s">
        <v>216</v>
      </c>
      <c r="F597" s="183"/>
      <c r="G597" s="183"/>
    </row>
    <row r="598" spans="1:7" ht="17.25" customHeight="1">
      <c r="A598" s="318" t="s">
        <v>223</v>
      </c>
      <c r="B598" s="319"/>
      <c r="C598" s="320"/>
      <c r="D598" s="40"/>
      <c r="E598" s="39"/>
      <c r="F598" s="183"/>
      <c r="G598" s="183"/>
    </row>
    <row r="599" spans="1:7" ht="26.25" customHeight="1">
      <c r="A599" s="60" t="s">
        <v>611</v>
      </c>
      <c r="B599" s="174">
        <v>14</v>
      </c>
      <c r="C599" s="174" t="s">
        <v>224</v>
      </c>
      <c r="D599" s="105" t="s">
        <v>612</v>
      </c>
      <c r="E599" s="174">
        <v>817.9</v>
      </c>
      <c r="F599" s="183"/>
      <c r="G599" s="183"/>
    </row>
    <row r="600" spans="1:7" ht="17.25" customHeight="1">
      <c r="A600" s="60" t="s">
        <v>613</v>
      </c>
      <c r="B600" s="174">
        <v>1</v>
      </c>
      <c r="C600" s="174" t="s">
        <v>228</v>
      </c>
      <c r="D600" s="105" t="s">
        <v>614</v>
      </c>
      <c r="E600" s="174">
        <v>108</v>
      </c>
      <c r="F600" s="183"/>
      <c r="G600" s="183"/>
    </row>
    <row r="601" spans="1:7" ht="17.25" customHeight="1">
      <c r="A601" s="60" t="s">
        <v>615</v>
      </c>
      <c r="B601" s="174">
        <v>5</v>
      </c>
      <c r="C601" s="105" t="s">
        <v>218</v>
      </c>
      <c r="D601" s="105" t="s">
        <v>616</v>
      </c>
      <c r="E601" s="174">
        <v>389</v>
      </c>
      <c r="F601" s="183"/>
      <c r="G601" s="183"/>
    </row>
    <row r="602" spans="1:7" ht="17.25" customHeight="1">
      <c r="A602" s="40"/>
      <c r="B602" s="243">
        <f>SUM(B599:B601)</f>
        <v>20</v>
      </c>
      <c r="C602" s="243"/>
      <c r="D602" s="243"/>
      <c r="E602" s="243">
        <f>SUM(E599:E601)</f>
        <v>1314.9</v>
      </c>
      <c r="F602" s="183"/>
      <c r="G602" s="183"/>
    </row>
    <row r="603" spans="1:7" ht="17.25" customHeight="1">
      <c r="A603" s="318" t="s">
        <v>217</v>
      </c>
      <c r="B603" s="319"/>
      <c r="C603" s="320"/>
      <c r="D603" s="243"/>
      <c r="E603" s="243"/>
      <c r="F603" s="183"/>
      <c r="G603" s="183"/>
    </row>
    <row r="604" spans="1:7" ht="17.25" customHeight="1">
      <c r="A604" s="60" t="s">
        <v>617</v>
      </c>
      <c r="B604" s="174">
        <v>3</v>
      </c>
      <c r="C604" s="105" t="s">
        <v>457</v>
      </c>
      <c r="D604" s="105" t="s">
        <v>618</v>
      </c>
      <c r="E604" s="174">
        <v>180</v>
      </c>
      <c r="F604" s="183"/>
      <c r="G604" s="183"/>
    </row>
    <row r="605" spans="1:7" ht="17.25" customHeight="1">
      <c r="A605" s="60" t="s">
        <v>619</v>
      </c>
      <c r="B605" s="174">
        <v>1</v>
      </c>
      <c r="C605" s="228" t="s">
        <v>240</v>
      </c>
      <c r="D605" s="40" t="s">
        <v>620</v>
      </c>
      <c r="E605" s="40">
        <v>195</v>
      </c>
      <c r="F605" s="183"/>
      <c r="G605" s="183"/>
    </row>
    <row r="606" spans="1:7" ht="17.25" customHeight="1">
      <c r="A606" s="60" t="s">
        <v>621</v>
      </c>
      <c r="B606" s="60">
        <v>11</v>
      </c>
      <c r="C606" s="228" t="s">
        <v>626</v>
      </c>
      <c r="D606" s="40" t="s">
        <v>622</v>
      </c>
      <c r="E606" s="60">
        <v>1441.4</v>
      </c>
      <c r="F606" s="183"/>
      <c r="G606" s="183"/>
    </row>
    <row r="607" spans="1:7" ht="17.25" customHeight="1">
      <c r="A607" s="60" t="s">
        <v>623</v>
      </c>
      <c r="B607" s="174">
        <v>8</v>
      </c>
      <c r="C607" s="105" t="s">
        <v>457</v>
      </c>
      <c r="D607" s="105" t="s">
        <v>624</v>
      </c>
      <c r="E607" s="174">
        <v>335</v>
      </c>
      <c r="F607" s="183"/>
      <c r="G607" s="183"/>
    </row>
    <row r="608" spans="1:7" ht="17.25" customHeight="1">
      <c r="A608" s="60" t="s">
        <v>625</v>
      </c>
      <c r="B608" s="174">
        <v>8</v>
      </c>
      <c r="C608" s="105" t="s">
        <v>627</v>
      </c>
      <c r="D608" s="105" t="s">
        <v>624</v>
      </c>
      <c r="E608" s="174">
        <v>486</v>
      </c>
      <c r="F608" s="183"/>
      <c r="G608" s="183"/>
    </row>
    <row r="609" spans="1:7" ht="17.25" customHeight="1">
      <c r="A609" s="40"/>
      <c r="B609" s="243">
        <f>SUM(B604:B608)</f>
        <v>31</v>
      </c>
      <c r="C609" s="243"/>
      <c r="D609" s="243"/>
      <c r="E609" s="248">
        <f>SUM(E604:E608)</f>
        <v>2637.4</v>
      </c>
      <c r="F609" s="183"/>
      <c r="G609" s="183"/>
    </row>
    <row r="610" spans="1:7" ht="17.25" customHeight="1">
      <c r="A610" s="243" t="s">
        <v>14</v>
      </c>
      <c r="B610" s="125">
        <f>B602+B609</f>
        <v>51</v>
      </c>
      <c r="C610" s="125"/>
      <c r="D610" s="125"/>
      <c r="E610" s="125">
        <f>E602+E609</f>
        <v>3952.3</v>
      </c>
      <c r="F610" s="183"/>
      <c r="G610" s="183"/>
    </row>
    <row r="611" spans="1:7" ht="17.25" customHeight="1">
      <c r="A611" s="247"/>
      <c r="B611" s="126"/>
      <c r="C611" s="127"/>
      <c r="D611" s="125"/>
      <c r="E611" s="125"/>
      <c r="F611" s="183"/>
      <c r="G611" s="183"/>
    </row>
    <row r="612" spans="1:7" ht="31.5" customHeight="1">
      <c r="A612" s="325" t="s">
        <v>705</v>
      </c>
      <c r="B612" s="326"/>
      <c r="C612" s="326"/>
      <c r="D612" s="326"/>
      <c r="E612" s="326"/>
      <c r="F612" s="183"/>
      <c r="G612" s="183"/>
    </row>
    <row r="613" spans="1:7" ht="24" customHeight="1">
      <c r="A613" s="40" t="s">
        <v>212</v>
      </c>
      <c r="B613" s="40" t="s">
        <v>213</v>
      </c>
      <c r="C613" s="40" t="s">
        <v>214</v>
      </c>
      <c r="D613" s="40" t="s">
        <v>215</v>
      </c>
      <c r="E613" s="39" t="s">
        <v>216</v>
      </c>
      <c r="F613" s="183"/>
      <c r="G613" s="183"/>
    </row>
    <row r="614" spans="1:7" ht="17.25" customHeight="1">
      <c r="A614" s="318" t="s">
        <v>223</v>
      </c>
      <c r="B614" s="319"/>
      <c r="C614" s="320"/>
      <c r="D614" s="40"/>
      <c r="E614" s="39"/>
      <c r="F614" s="183"/>
      <c r="G614" s="183"/>
    </row>
    <row r="615" spans="1:7" ht="30" customHeight="1">
      <c r="A615" s="70">
        <v>1416</v>
      </c>
      <c r="B615" s="91">
        <v>22</v>
      </c>
      <c r="C615" s="91" t="s">
        <v>228</v>
      </c>
      <c r="D615" s="70" t="s">
        <v>637</v>
      </c>
      <c r="E615" s="70">
        <v>2296</v>
      </c>
      <c r="F615" s="183"/>
      <c r="G615" s="183"/>
    </row>
    <row r="616" spans="1:7" ht="30" customHeight="1">
      <c r="A616" s="70">
        <v>1421</v>
      </c>
      <c r="B616" s="91">
        <v>25</v>
      </c>
      <c r="C616" s="91" t="s">
        <v>224</v>
      </c>
      <c r="D616" s="70" t="s">
        <v>638</v>
      </c>
      <c r="E616" s="70">
        <v>1501</v>
      </c>
      <c r="F616" s="183"/>
      <c r="G616" s="183"/>
    </row>
    <row r="617" spans="1:7" ht="30" customHeight="1">
      <c r="A617" s="70">
        <v>1422</v>
      </c>
      <c r="B617" s="91">
        <v>25</v>
      </c>
      <c r="C617" s="91" t="s">
        <v>224</v>
      </c>
      <c r="D617" s="70" t="s">
        <v>639</v>
      </c>
      <c r="E617" s="40">
        <v>1503</v>
      </c>
      <c r="F617" s="183"/>
      <c r="G617" s="183"/>
    </row>
    <row r="618" spans="1:7" ht="17.25" customHeight="1">
      <c r="A618" s="40"/>
      <c r="B618" s="258">
        <f>SUM(B615:B617)</f>
        <v>72</v>
      </c>
      <c r="C618" s="258"/>
      <c r="D618" s="246"/>
      <c r="E618" s="246">
        <f>SUM(E615:E617)</f>
        <v>5300</v>
      </c>
      <c r="F618" s="183"/>
      <c r="G618" s="183"/>
    </row>
    <row r="619" spans="1:7" ht="17.25" customHeight="1">
      <c r="A619" s="318" t="s">
        <v>217</v>
      </c>
      <c r="B619" s="319"/>
      <c r="C619" s="320"/>
      <c r="D619" s="246"/>
      <c r="E619" s="246"/>
      <c r="F619" s="183"/>
      <c r="G619" s="183"/>
    </row>
    <row r="620" spans="1:7" ht="27" customHeight="1">
      <c r="A620" s="70">
        <v>1426</v>
      </c>
      <c r="B620" s="91">
        <v>27</v>
      </c>
      <c r="C620" s="70" t="s">
        <v>218</v>
      </c>
      <c r="D620" s="70" t="s">
        <v>642</v>
      </c>
      <c r="E620" s="70">
        <v>1991</v>
      </c>
      <c r="F620" s="183"/>
      <c r="G620" s="183"/>
    </row>
    <row r="621" spans="1:7" ht="17.25" customHeight="1">
      <c r="A621" s="40"/>
      <c r="B621" s="258">
        <f>SUM(B620:B620)</f>
        <v>27</v>
      </c>
      <c r="C621" s="258"/>
      <c r="D621" s="246"/>
      <c r="E621" s="246">
        <f>SUM(E620:E620)</f>
        <v>1991</v>
      </c>
      <c r="F621" s="183"/>
      <c r="G621" s="183"/>
    </row>
    <row r="622" spans="1:7" ht="17.25" customHeight="1">
      <c r="A622" s="318" t="s">
        <v>229</v>
      </c>
      <c r="B622" s="319"/>
      <c r="C622" s="320"/>
      <c r="D622" s="125"/>
      <c r="E622" s="125"/>
      <c r="F622" s="183"/>
      <c r="G622" s="183"/>
    </row>
    <row r="623" spans="1:7" ht="17.25" customHeight="1">
      <c r="A623" s="70">
        <v>1415</v>
      </c>
      <c r="B623" s="91">
        <v>30</v>
      </c>
      <c r="C623" s="70" t="s">
        <v>218</v>
      </c>
      <c r="D623" s="40" t="s">
        <v>645</v>
      </c>
      <c r="E623" s="40">
        <v>1815</v>
      </c>
      <c r="F623" s="183"/>
      <c r="G623" s="183"/>
    </row>
    <row r="624" spans="1:7" ht="17.25" customHeight="1">
      <c r="A624" s="258"/>
      <c r="B624" s="125">
        <f>B623</f>
        <v>30</v>
      </c>
      <c r="C624" s="125"/>
      <c r="D624" s="125"/>
      <c r="E624" s="126">
        <f>E623</f>
        <v>1815</v>
      </c>
      <c r="F624" s="183"/>
      <c r="G624" s="183"/>
    </row>
    <row r="625" spans="1:7" ht="17.25" customHeight="1">
      <c r="A625" s="246" t="s">
        <v>14</v>
      </c>
      <c r="B625" s="125">
        <f>B618+B621+B624</f>
        <v>129</v>
      </c>
      <c r="C625" s="125"/>
      <c r="D625" s="125"/>
      <c r="E625" s="125">
        <f>E618+E621+E624</f>
        <v>9106</v>
      </c>
      <c r="F625" s="183"/>
      <c r="G625" s="183"/>
    </row>
    <row r="626" spans="1:7" ht="17.25" customHeight="1">
      <c r="A626" s="255"/>
      <c r="B626" s="126"/>
      <c r="C626" s="127"/>
      <c r="D626" s="125"/>
      <c r="E626" s="125"/>
      <c r="F626" s="183"/>
      <c r="G626" s="183"/>
    </row>
    <row r="627" spans="1:7" ht="26.25" customHeight="1">
      <c r="A627" s="325" t="s">
        <v>706</v>
      </c>
      <c r="B627" s="326"/>
      <c r="C627" s="326"/>
      <c r="D627" s="326"/>
      <c r="E627" s="326"/>
      <c r="F627" s="183"/>
      <c r="G627" s="183"/>
    </row>
    <row r="628" spans="1:7" ht="31.5" customHeight="1">
      <c r="A628" s="40" t="s">
        <v>212</v>
      </c>
      <c r="B628" s="40" t="s">
        <v>213</v>
      </c>
      <c r="C628" s="40" t="s">
        <v>214</v>
      </c>
      <c r="D628" s="40" t="s">
        <v>215</v>
      </c>
      <c r="E628" s="39" t="s">
        <v>216</v>
      </c>
      <c r="F628" s="183"/>
      <c r="G628" s="183"/>
    </row>
    <row r="629" spans="1:7" ht="17.25" customHeight="1">
      <c r="A629" s="318" t="s">
        <v>223</v>
      </c>
      <c r="B629" s="319"/>
      <c r="C629" s="320"/>
      <c r="D629" s="40"/>
      <c r="E629" s="39"/>
      <c r="F629" s="183"/>
      <c r="G629" s="183"/>
    </row>
    <row r="630" spans="1:7" ht="33.75" customHeight="1">
      <c r="A630" s="70">
        <v>1423</v>
      </c>
      <c r="B630" s="91">
        <v>25</v>
      </c>
      <c r="C630" s="91" t="s">
        <v>224</v>
      </c>
      <c r="D630" s="40" t="s">
        <v>640</v>
      </c>
      <c r="E630" s="40">
        <v>1497</v>
      </c>
      <c r="F630" s="183"/>
      <c r="G630" s="183"/>
    </row>
    <row r="631" spans="1:7" ht="33.75" customHeight="1">
      <c r="A631" s="70">
        <v>1424</v>
      </c>
      <c r="B631" s="91">
        <v>25</v>
      </c>
      <c r="C631" s="91" t="s">
        <v>224</v>
      </c>
      <c r="D631" s="40" t="s">
        <v>641</v>
      </c>
      <c r="E631" s="40">
        <v>1531</v>
      </c>
      <c r="F631" s="183"/>
      <c r="G631" s="183"/>
    </row>
    <row r="632" spans="1:7" ht="33.75" customHeight="1">
      <c r="A632" s="70">
        <v>1425</v>
      </c>
      <c r="B632" s="91">
        <v>25</v>
      </c>
      <c r="C632" s="91" t="s">
        <v>224</v>
      </c>
      <c r="D632" s="40" t="s">
        <v>648</v>
      </c>
      <c r="E632" s="40">
        <v>1482</v>
      </c>
      <c r="F632" s="183"/>
      <c r="G632" s="183"/>
    </row>
    <row r="633" spans="1:7" ht="17.25" customHeight="1">
      <c r="A633" s="40"/>
      <c r="B633" s="254">
        <f>SUM(B630:B632)</f>
        <v>75</v>
      </c>
      <c r="C633" s="254"/>
      <c r="D633" s="254"/>
      <c r="E633" s="254">
        <f>SUM(E630:E632)</f>
        <v>4510</v>
      </c>
      <c r="F633" s="183"/>
      <c r="G633" s="183"/>
    </row>
    <row r="634" spans="1:7" ht="17.25" customHeight="1">
      <c r="A634" s="318" t="s">
        <v>217</v>
      </c>
      <c r="B634" s="319"/>
      <c r="C634" s="320"/>
      <c r="D634" s="254"/>
      <c r="E634" s="254"/>
      <c r="F634" s="183"/>
      <c r="G634" s="183"/>
    </row>
    <row r="635" spans="1:7" ht="17.25" customHeight="1">
      <c r="A635" s="40">
        <v>1418</v>
      </c>
      <c r="B635" s="60">
        <v>9</v>
      </c>
      <c r="C635" s="132" t="s">
        <v>240</v>
      </c>
      <c r="D635" s="70" t="s">
        <v>643</v>
      </c>
      <c r="E635" s="40">
        <v>1780</v>
      </c>
      <c r="F635" s="183"/>
      <c r="G635" s="183"/>
    </row>
    <row r="636" spans="1:7" ht="17.25" customHeight="1">
      <c r="A636" s="40">
        <v>1419</v>
      </c>
      <c r="B636" s="40">
        <v>11</v>
      </c>
      <c r="C636" s="228" t="s">
        <v>243</v>
      </c>
      <c r="D636" s="40" t="s">
        <v>647</v>
      </c>
      <c r="E636" s="40">
        <v>1775</v>
      </c>
      <c r="F636" s="183"/>
      <c r="G636" s="183"/>
    </row>
    <row r="637" spans="1:7" ht="17.25" customHeight="1">
      <c r="A637" s="60">
        <v>1420</v>
      </c>
      <c r="B637" s="60">
        <v>3</v>
      </c>
      <c r="C637" s="132" t="s">
        <v>232</v>
      </c>
      <c r="D637" s="60" t="s">
        <v>644</v>
      </c>
      <c r="E637" s="60">
        <v>345</v>
      </c>
      <c r="F637" s="183"/>
      <c r="G637" s="183"/>
    </row>
    <row r="638" spans="1:7" ht="17.25" customHeight="1">
      <c r="A638" s="40"/>
      <c r="B638" s="254">
        <f>SUM(B635:B637)</f>
        <v>23</v>
      </c>
      <c r="C638" s="254"/>
      <c r="D638" s="254"/>
      <c r="E638" s="254">
        <f>SUM(E635:E637)</f>
        <v>3900</v>
      </c>
      <c r="F638" s="183"/>
      <c r="G638" s="183"/>
    </row>
    <row r="639" spans="1:7" ht="17.25" customHeight="1">
      <c r="A639" s="318" t="s">
        <v>230</v>
      </c>
      <c r="B639" s="319"/>
      <c r="C639" s="320"/>
      <c r="D639" s="125"/>
      <c r="E639" s="125"/>
      <c r="F639" s="183"/>
      <c r="G639" s="183"/>
    </row>
    <row r="640" spans="1:7" ht="17.25" customHeight="1">
      <c r="A640" s="40">
        <v>1417</v>
      </c>
      <c r="B640" s="60">
        <v>23</v>
      </c>
      <c r="C640" s="40" t="s">
        <v>218</v>
      </c>
      <c r="D640" s="40" t="s">
        <v>646</v>
      </c>
      <c r="E640" s="40">
        <v>1378</v>
      </c>
      <c r="F640" s="183"/>
      <c r="G640" s="183"/>
    </row>
    <row r="641" spans="1:7" ht="17.25" customHeight="1">
      <c r="A641" s="40"/>
      <c r="B641" s="254">
        <f>B640</f>
        <v>23</v>
      </c>
      <c r="C641" s="254"/>
      <c r="D641" s="254"/>
      <c r="E641" s="254">
        <f>E640</f>
        <v>1378</v>
      </c>
      <c r="F641" s="183"/>
      <c r="G641" s="183"/>
    </row>
    <row r="642" spans="1:7" ht="17.25" customHeight="1">
      <c r="A642" s="254" t="s">
        <v>14</v>
      </c>
      <c r="B642" s="125">
        <f>B633+B638+B641</f>
        <v>121</v>
      </c>
      <c r="C642" s="125"/>
      <c r="D642" s="125"/>
      <c r="E642" s="125">
        <f>E633+E638+E641</f>
        <v>9788</v>
      </c>
      <c r="F642" s="183"/>
      <c r="G642" s="183"/>
    </row>
    <row r="643" spans="1:7" ht="17.25" customHeight="1">
      <c r="A643" s="259"/>
      <c r="B643" s="126"/>
      <c r="C643" s="127"/>
      <c r="D643" s="125"/>
      <c r="E643" s="125"/>
      <c r="F643" s="183"/>
      <c r="G643" s="183"/>
    </row>
    <row r="644" spans="1:7" ht="30.75" customHeight="1">
      <c r="A644" s="325" t="s">
        <v>707</v>
      </c>
      <c r="B644" s="326"/>
      <c r="C644" s="326"/>
      <c r="D644" s="326"/>
      <c r="E644" s="326"/>
      <c r="F644" s="183"/>
      <c r="G644" s="183"/>
    </row>
    <row r="645" spans="1:7" ht="25.5" customHeight="1">
      <c r="A645" s="40" t="s">
        <v>212</v>
      </c>
      <c r="B645" s="40" t="s">
        <v>213</v>
      </c>
      <c r="C645" s="40" t="s">
        <v>214</v>
      </c>
      <c r="D645" s="40" t="s">
        <v>215</v>
      </c>
      <c r="E645" s="39" t="s">
        <v>216</v>
      </c>
      <c r="F645" s="183"/>
      <c r="G645" s="183"/>
    </row>
    <row r="646" spans="1:7" ht="17.25" customHeight="1">
      <c r="A646" s="318" t="s">
        <v>223</v>
      </c>
      <c r="B646" s="319"/>
      <c r="C646" s="320"/>
      <c r="D646" s="40"/>
      <c r="E646" s="39"/>
      <c r="F646" s="183"/>
      <c r="G646" s="183"/>
    </row>
    <row r="647" spans="1:7" ht="27" customHeight="1">
      <c r="A647" s="60" t="s">
        <v>650</v>
      </c>
      <c r="B647" s="174">
        <v>13</v>
      </c>
      <c r="C647" s="174" t="s">
        <v>224</v>
      </c>
      <c r="D647" s="105" t="s">
        <v>651</v>
      </c>
      <c r="E647" s="174">
        <v>784.1</v>
      </c>
      <c r="F647" s="183"/>
      <c r="G647" s="183"/>
    </row>
    <row r="648" spans="1:7" ht="17.25" customHeight="1">
      <c r="A648" s="60" t="s">
        <v>652</v>
      </c>
      <c r="B648" s="174">
        <v>1</v>
      </c>
      <c r="C648" s="174" t="s">
        <v>228</v>
      </c>
      <c r="D648" s="105" t="s">
        <v>653</v>
      </c>
      <c r="E648" s="174">
        <v>106</v>
      </c>
      <c r="F648" s="183"/>
      <c r="G648" s="183"/>
    </row>
    <row r="649" spans="1:7" ht="17.25" customHeight="1">
      <c r="A649" s="60" t="s">
        <v>665</v>
      </c>
      <c r="B649" s="60">
        <v>1</v>
      </c>
      <c r="C649" s="228" t="s">
        <v>388</v>
      </c>
      <c r="D649" s="40" t="s">
        <v>666</v>
      </c>
      <c r="E649" s="174">
        <v>580</v>
      </c>
      <c r="F649" s="183"/>
      <c r="G649" s="183"/>
    </row>
    <row r="650" spans="1:7" ht="17.25" customHeight="1">
      <c r="A650" s="40"/>
      <c r="B650" s="258">
        <f>SUM(B647:B649)</f>
        <v>15</v>
      </c>
      <c r="C650" s="258"/>
      <c r="D650" s="258"/>
      <c r="E650" s="258">
        <f>SUM(E647:E649)</f>
        <v>1470.1</v>
      </c>
      <c r="F650" s="183"/>
      <c r="G650" s="183"/>
    </row>
    <row r="651" spans="1:7" ht="17.25" customHeight="1">
      <c r="A651" s="318" t="s">
        <v>217</v>
      </c>
      <c r="B651" s="319"/>
      <c r="C651" s="320"/>
      <c r="D651" s="258"/>
      <c r="E651" s="258"/>
      <c r="F651" s="183"/>
      <c r="G651" s="183"/>
    </row>
    <row r="652" spans="1:7" ht="17.25" customHeight="1">
      <c r="A652" s="60" t="s">
        <v>654</v>
      </c>
      <c r="B652" s="174">
        <v>4</v>
      </c>
      <c r="C652" s="105" t="s">
        <v>457</v>
      </c>
      <c r="D652" s="105" t="s">
        <v>655</v>
      </c>
      <c r="E652" s="174">
        <v>240</v>
      </c>
      <c r="F652" s="183"/>
      <c r="G652" s="183"/>
    </row>
    <row r="653" spans="1:7" ht="30" customHeight="1">
      <c r="A653" s="60" t="s">
        <v>656</v>
      </c>
      <c r="B653" s="60">
        <v>20</v>
      </c>
      <c r="C653" s="228" t="s">
        <v>657</v>
      </c>
      <c r="D653" s="40" t="s">
        <v>658</v>
      </c>
      <c r="E653" s="40">
        <v>1905</v>
      </c>
      <c r="F653" s="183"/>
      <c r="G653" s="183"/>
    </row>
    <row r="654" spans="1:7" ht="17.25" customHeight="1">
      <c r="A654" s="60" t="s">
        <v>659</v>
      </c>
      <c r="B654" s="60">
        <v>4</v>
      </c>
      <c r="C654" s="228" t="s">
        <v>660</v>
      </c>
      <c r="D654" s="40" t="s">
        <v>661</v>
      </c>
      <c r="E654" s="60">
        <v>838</v>
      </c>
      <c r="F654" s="183"/>
      <c r="G654" s="183"/>
    </row>
    <row r="655" spans="1:7" ht="17.25" customHeight="1">
      <c r="A655" s="60" t="s">
        <v>662</v>
      </c>
      <c r="B655" s="60">
        <v>3</v>
      </c>
      <c r="C655" s="228" t="s">
        <v>663</v>
      </c>
      <c r="D655" s="40" t="s">
        <v>664</v>
      </c>
      <c r="E655" s="174">
        <v>933</v>
      </c>
      <c r="F655" s="183"/>
      <c r="G655" s="183"/>
    </row>
    <row r="656" spans="1:7" ht="17.25" customHeight="1">
      <c r="A656" s="60" t="s">
        <v>667</v>
      </c>
      <c r="B656" s="174">
        <v>4</v>
      </c>
      <c r="C656" s="105" t="s">
        <v>671</v>
      </c>
      <c r="D656" s="105" t="s">
        <v>668</v>
      </c>
      <c r="E656" s="174">
        <v>244</v>
      </c>
      <c r="F656" s="183"/>
      <c r="G656" s="183"/>
    </row>
    <row r="657" spans="1:7" ht="17.25" customHeight="1">
      <c r="A657" s="60" t="s">
        <v>669</v>
      </c>
      <c r="B657" s="174">
        <v>4</v>
      </c>
      <c r="C657" s="105" t="s">
        <v>670</v>
      </c>
      <c r="D657" s="105" t="s">
        <v>668</v>
      </c>
      <c r="E657" s="174">
        <v>165</v>
      </c>
      <c r="F657" s="183"/>
      <c r="G657" s="183"/>
    </row>
    <row r="658" spans="1:7" ht="17.25" customHeight="1">
      <c r="A658" s="40"/>
      <c r="B658" s="258">
        <f>SUM(B652:B657)</f>
        <v>39</v>
      </c>
      <c r="C658" s="258"/>
      <c r="D658" s="258"/>
      <c r="E658" s="258">
        <f>SUM(E652:E657)</f>
        <v>4325</v>
      </c>
      <c r="F658" s="183"/>
      <c r="G658" s="183"/>
    </row>
    <row r="659" spans="1:7" ht="17.25" customHeight="1">
      <c r="A659" s="258" t="s">
        <v>14</v>
      </c>
      <c r="B659" s="125">
        <f>B650+B658</f>
        <v>54</v>
      </c>
      <c r="C659" s="125"/>
      <c r="D659" s="125"/>
      <c r="E659" s="125">
        <f>E650+E658</f>
        <v>5795.1</v>
      </c>
      <c r="F659" s="183"/>
      <c r="G659" s="183"/>
    </row>
    <row r="660" spans="1:7" ht="17.25" customHeight="1">
      <c r="A660" s="261"/>
      <c r="B660" s="126"/>
      <c r="C660" s="127"/>
      <c r="D660" s="125"/>
      <c r="E660" s="125"/>
      <c r="F660" s="183"/>
      <c r="G660" s="183"/>
    </row>
    <row r="661" spans="1:7" ht="26.25" customHeight="1">
      <c r="A661" s="325" t="s">
        <v>708</v>
      </c>
      <c r="B661" s="326"/>
      <c r="C661" s="326"/>
      <c r="D661" s="326"/>
      <c r="E661" s="326"/>
      <c r="F661" s="183"/>
      <c r="G661" s="183"/>
    </row>
    <row r="662" spans="1:7" ht="27" customHeight="1">
      <c r="A662" s="40" t="s">
        <v>212</v>
      </c>
      <c r="B662" s="40" t="s">
        <v>213</v>
      </c>
      <c r="C662" s="40" t="s">
        <v>214</v>
      </c>
      <c r="D662" s="40" t="s">
        <v>215</v>
      </c>
      <c r="E662" s="39" t="s">
        <v>216</v>
      </c>
      <c r="F662" s="183"/>
      <c r="G662" s="183"/>
    </row>
    <row r="663" spans="1:7" ht="17.25" customHeight="1">
      <c r="A663" s="318" t="s">
        <v>217</v>
      </c>
      <c r="B663" s="319"/>
      <c r="C663" s="320"/>
      <c r="D663" s="260"/>
      <c r="E663" s="260"/>
      <c r="F663" s="183"/>
      <c r="G663" s="183"/>
    </row>
    <row r="664" spans="1:7" ht="17.25" customHeight="1">
      <c r="A664" s="208">
        <v>133</v>
      </c>
      <c r="B664" s="209">
        <v>22</v>
      </c>
      <c r="C664" s="210" t="s">
        <v>345</v>
      </c>
      <c r="D664" s="211" t="s">
        <v>674</v>
      </c>
      <c r="E664" s="212">
        <v>2483</v>
      </c>
      <c r="F664" s="183"/>
      <c r="G664" s="183"/>
    </row>
    <row r="665" spans="1:7" ht="17.25" customHeight="1">
      <c r="A665" s="208">
        <v>134</v>
      </c>
      <c r="B665" s="209">
        <v>14</v>
      </c>
      <c r="C665" s="210" t="s">
        <v>349</v>
      </c>
      <c r="D665" s="211" t="s">
        <v>672</v>
      </c>
      <c r="E665" s="212">
        <v>1917</v>
      </c>
      <c r="F665" s="183"/>
      <c r="G665" s="183"/>
    </row>
    <row r="666" spans="1:7" ht="17.25" customHeight="1">
      <c r="A666" s="208">
        <v>135</v>
      </c>
      <c r="B666" s="209">
        <v>19</v>
      </c>
      <c r="C666" s="232" t="s">
        <v>218</v>
      </c>
      <c r="D666" s="117" t="s">
        <v>348</v>
      </c>
      <c r="E666" s="212">
        <v>881</v>
      </c>
      <c r="F666" s="183"/>
      <c r="G666" s="183"/>
    </row>
    <row r="667" spans="1:7" ht="17.25" customHeight="1">
      <c r="A667" s="40"/>
      <c r="B667" s="260">
        <f>SUM(B664:B666)</f>
        <v>55</v>
      </c>
      <c r="C667" s="260"/>
      <c r="D667" s="260"/>
      <c r="E667" s="260">
        <f>SUM(E664:E666)</f>
        <v>5281</v>
      </c>
      <c r="F667" s="183"/>
      <c r="G667" s="183"/>
    </row>
    <row r="668" spans="1:7" ht="17.25" customHeight="1">
      <c r="A668" s="260" t="s">
        <v>14</v>
      </c>
      <c r="B668" s="125">
        <f>B667</f>
        <v>55</v>
      </c>
      <c r="C668" s="125"/>
      <c r="D668" s="125"/>
      <c r="E668" s="125">
        <f>E667</f>
        <v>5281</v>
      </c>
      <c r="F668" s="183"/>
      <c r="G668" s="183"/>
    </row>
    <row r="669" spans="1:7" ht="17.25" customHeight="1">
      <c r="A669" s="261"/>
      <c r="B669" s="126"/>
      <c r="C669" s="127"/>
      <c r="D669" s="125"/>
      <c r="E669" s="125"/>
      <c r="F669" s="183"/>
      <c r="G669" s="183"/>
    </row>
    <row r="670" spans="1:7" ht="31.5" customHeight="1">
      <c r="A670" s="325" t="s">
        <v>709</v>
      </c>
      <c r="B670" s="326"/>
      <c r="C670" s="326"/>
      <c r="D670" s="326"/>
      <c r="E670" s="326"/>
      <c r="F670" s="183"/>
      <c r="G670" s="183"/>
    </row>
    <row r="671" spans="1:7" ht="30" customHeight="1">
      <c r="A671" s="40" t="s">
        <v>212</v>
      </c>
      <c r="B671" s="40" t="s">
        <v>213</v>
      </c>
      <c r="C671" s="40" t="s">
        <v>214</v>
      </c>
      <c r="D671" s="40" t="s">
        <v>215</v>
      </c>
      <c r="E671" s="39" t="s">
        <v>216</v>
      </c>
      <c r="F671" s="183"/>
      <c r="G671" s="183"/>
    </row>
    <row r="672" spans="1:7" ht="17.25" customHeight="1">
      <c r="A672" s="318" t="s">
        <v>223</v>
      </c>
      <c r="B672" s="319"/>
      <c r="C672" s="320"/>
      <c r="D672" s="40"/>
      <c r="E672" s="39"/>
      <c r="F672" s="183"/>
      <c r="G672" s="183"/>
    </row>
    <row r="673" spans="1:7" ht="17.25" customHeight="1">
      <c r="A673" s="70">
        <v>1309</v>
      </c>
      <c r="B673" s="91">
        <v>7</v>
      </c>
      <c r="C673" s="91" t="s">
        <v>218</v>
      </c>
      <c r="D673" s="70" t="s">
        <v>673</v>
      </c>
      <c r="E673" s="70">
        <v>555</v>
      </c>
      <c r="F673" s="183"/>
      <c r="G673" s="183"/>
    </row>
    <row r="674" spans="1:7" ht="17.25" customHeight="1">
      <c r="A674" s="40"/>
      <c r="B674" s="266">
        <f>SUM(B673:B673)</f>
        <v>7</v>
      </c>
      <c r="C674" s="266"/>
      <c r="D674" s="260"/>
      <c r="E674" s="260">
        <f>SUM(E673:E673)</f>
        <v>555</v>
      </c>
      <c r="F674" s="183"/>
      <c r="G674" s="183"/>
    </row>
    <row r="675" spans="1:7" ht="17.25" customHeight="1">
      <c r="A675" s="318" t="s">
        <v>217</v>
      </c>
      <c r="B675" s="319"/>
      <c r="C675" s="320"/>
      <c r="D675" s="260"/>
      <c r="E675" s="260"/>
      <c r="F675" s="183"/>
      <c r="G675" s="183"/>
    </row>
    <row r="676" spans="1:7" ht="17.25" customHeight="1">
      <c r="A676" s="136">
        <v>1310</v>
      </c>
      <c r="B676" s="60">
        <v>7</v>
      </c>
      <c r="C676" s="40" t="s">
        <v>218</v>
      </c>
      <c r="D676" s="117" t="s">
        <v>287</v>
      </c>
      <c r="E676" s="60">
        <v>401</v>
      </c>
      <c r="F676" s="183"/>
      <c r="G676" s="183"/>
    </row>
    <row r="677" spans="1:7" ht="17.25" customHeight="1">
      <c r="A677" s="40"/>
      <c r="B677" s="260">
        <f>SUM(B676:B676)</f>
        <v>7</v>
      </c>
      <c r="C677" s="260"/>
      <c r="D677" s="260"/>
      <c r="E677" s="260">
        <f>SUM(E676:E676)</f>
        <v>401</v>
      </c>
      <c r="F677" s="183"/>
      <c r="G677" s="183"/>
    </row>
    <row r="678" spans="1:7" ht="17.25" customHeight="1">
      <c r="A678" s="260" t="s">
        <v>14</v>
      </c>
      <c r="B678" s="125">
        <f>B674+B677</f>
        <v>14</v>
      </c>
      <c r="C678" s="125"/>
      <c r="D678" s="125"/>
      <c r="E678" s="125">
        <f>E674+E677</f>
        <v>956</v>
      </c>
      <c r="F678" s="183"/>
      <c r="G678" s="183"/>
    </row>
    <row r="679" spans="1:7" ht="17.25" customHeight="1">
      <c r="A679" s="272"/>
      <c r="B679" s="126"/>
      <c r="C679" s="127"/>
      <c r="D679" s="125"/>
      <c r="E679" s="125"/>
      <c r="F679" s="183"/>
      <c r="G679" s="183"/>
    </row>
    <row r="680" spans="1:7" ht="30.75" customHeight="1">
      <c r="A680" s="325" t="s">
        <v>717</v>
      </c>
      <c r="B680" s="326"/>
      <c r="C680" s="326"/>
      <c r="D680" s="326"/>
      <c r="E680" s="326"/>
      <c r="F680" s="183"/>
      <c r="G680" s="183"/>
    </row>
    <row r="681" spans="1:7" ht="24.75" customHeight="1">
      <c r="A681" s="40" t="s">
        <v>212</v>
      </c>
      <c r="B681" s="40" t="s">
        <v>213</v>
      </c>
      <c r="C681" s="40" t="s">
        <v>214</v>
      </c>
      <c r="D681" s="40" t="s">
        <v>215</v>
      </c>
      <c r="E681" s="39" t="s">
        <v>216</v>
      </c>
      <c r="F681" s="183"/>
      <c r="G681" s="183"/>
    </row>
    <row r="682" spans="1:7" ht="17.25" customHeight="1">
      <c r="A682" s="318" t="s">
        <v>223</v>
      </c>
      <c r="B682" s="319"/>
      <c r="C682" s="320"/>
      <c r="D682" s="40"/>
      <c r="E682" s="39"/>
      <c r="F682" s="183"/>
      <c r="G682" s="183"/>
    </row>
    <row r="683" spans="1:7" ht="17.25" customHeight="1">
      <c r="A683" s="60">
        <v>24010</v>
      </c>
      <c r="B683" s="174">
        <v>1</v>
      </c>
      <c r="C683" s="105" t="s">
        <v>224</v>
      </c>
      <c r="D683" s="105" t="s">
        <v>260</v>
      </c>
      <c r="E683" s="174">
        <v>60</v>
      </c>
      <c r="F683" s="183"/>
      <c r="G683" s="183"/>
    </row>
    <row r="684" spans="1:7" ht="17.25" customHeight="1">
      <c r="A684" s="60">
        <v>24011</v>
      </c>
      <c r="B684" s="174">
        <v>7</v>
      </c>
      <c r="C684" s="105" t="s">
        <v>225</v>
      </c>
      <c r="D684" s="105" t="s">
        <v>713</v>
      </c>
      <c r="E684" s="174">
        <v>579</v>
      </c>
      <c r="F684" s="183"/>
      <c r="G684" s="183"/>
    </row>
    <row r="685" spans="1:7" ht="17.25" customHeight="1">
      <c r="A685" s="60">
        <v>24012</v>
      </c>
      <c r="B685" s="174">
        <v>5</v>
      </c>
      <c r="C685" s="105" t="s">
        <v>228</v>
      </c>
      <c r="D685" s="105" t="s">
        <v>714</v>
      </c>
      <c r="E685" s="174">
        <v>594</v>
      </c>
      <c r="F685" s="183"/>
      <c r="G685" s="183"/>
    </row>
    <row r="686" spans="1:7" ht="17.25" customHeight="1">
      <c r="A686" s="40"/>
      <c r="B686" s="271">
        <f>SUM(B683:B685)</f>
        <v>13</v>
      </c>
      <c r="C686" s="271"/>
      <c r="D686" s="271"/>
      <c r="E686" s="271">
        <f>SUM(E683:E685)</f>
        <v>1233</v>
      </c>
      <c r="F686" s="183"/>
      <c r="G686" s="183"/>
    </row>
    <row r="687" spans="1:7" ht="17.25" customHeight="1">
      <c r="A687" s="318" t="s">
        <v>217</v>
      </c>
      <c r="B687" s="319"/>
      <c r="C687" s="320"/>
      <c r="D687" s="271"/>
      <c r="E687" s="271"/>
      <c r="F687" s="183"/>
      <c r="G687" s="183"/>
    </row>
    <row r="688" spans="1:7" ht="17.25" customHeight="1">
      <c r="A688" s="60">
        <v>24013</v>
      </c>
      <c r="B688" s="174">
        <v>1</v>
      </c>
      <c r="C688" s="174" t="s">
        <v>224</v>
      </c>
      <c r="D688" s="105" t="s">
        <v>715</v>
      </c>
      <c r="E688" s="281">
        <v>54</v>
      </c>
      <c r="F688" s="183"/>
      <c r="G688" s="183"/>
    </row>
    <row r="689" spans="1:7" ht="17.25" customHeight="1">
      <c r="A689" s="60">
        <v>24014</v>
      </c>
      <c r="B689" s="174">
        <v>1</v>
      </c>
      <c r="C689" s="279" t="s">
        <v>240</v>
      </c>
      <c r="D689" s="105" t="s">
        <v>715</v>
      </c>
      <c r="E689" s="281">
        <v>200</v>
      </c>
      <c r="F689" s="183"/>
      <c r="G689" s="183"/>
    </row>
    <row r="690" spans="1:7" ht="17.25" customHeight="1">
      <c r="A690" s="60">
        <v>24016</v>
      </c>
      <c r="B690" s="198">
        <v>2</v>
      </c>
      <c r="C690" s="279" t="s">
        <v>349</v>
      </c>
      <c r="D690" s="178" t="s">
        <v>716</v>
      </c>
      <c r="E690" s="198">
        <v>590</v>
      </c>
      <c r="F690" s="183"/>
      <c r="G690" s="183"/>
    </row>
    <row r="691" spans="1:7" ht="17.25" customHeight="1">
      <c r="A691" s="60">
        <v>24015</v>
      </c>
      <c r="B691" s="198">
        <v>1</v>
      </c>
      <c r="C691" s="279" t="s">
        <v>232</v>
      </c>
      <c r="D691" s="234" t="s">
        <v>391</v>
      </c>
      <c r="E691" s="178">
        <v>120</v>
      </c>
      <c r="F691" s="183"/>
      <c r="G691" s="183"/>
    </row>
    <row r="692" spans="1:7" ht="17.25" customHeight="1">
      <c r="A692" s="40"/>
      <c r="B692" s="271">
        <f>SUM(B688:B691)</f>
        <v>5</v>
      </c>
      <c r="C692" s="271"/>
      <c r="D692" s="271"/>
      <c r="E692" s="271">
        <f>SUM(E688:E691)</f>
        <v>964</v>
      </c>
      <c r="F692" s="183"/>
      <c r="G692" s="183"/>
    </row>
    <row r="693" spans="1:7" ht="17.25" customHeight="1">
      <c r="A693" s="271" t="s">
        <v>14</v>
      </c>
      <c r="B693" s="125">
        <f>B686+B692</f>
        <v>18</v>
      </c>
      <c r="C693" s="125"/>
      <c r="D693" s="125"/>
      <c r="E693" s="125">
        <f>E686+E692</f>
        <v>2197</v>
      </c>
      <c r="F693" s="183"/>
      <c r="G693" s="183"/>
    </row>
    <row r="694" spans="1:7" ht="17.25" customHeight="1">
      <c r="A694" s="275"/>
      <c r="B694" s="126"/>
      <c r="C694" s="127"/>
      <c r="D694" s="125"/>
      <c r="E694" s="125"/>
      <c r="F694" s="183"/>
      <c r="G694" s="183"/>
    </row>
    <row r="695" spans="1:7" ht="24.75" customHeight="1">
      <c r="A695" s="325" t="s">
        <v>734</v>
      </c>
      <c r="B695" s="326"/>
      <c r="C695" s="326"/>
      <c r="D695" s="326"/>
      <c r="E695" s="326"/>
      <c r="F695" s="183"/>
      <c r="G695" s="183"/>
    </row>
    <row r="696" spans="1:7" ht="20.25" customHeight="1">
      <c r="A696" s="40" t="s">
        <v>212</v>
      </c>
      <c r="B696" s="40" t="s">
        <v>213</v>
      </c>
      <c r="C696" s="40" t="s">
        <v>214</v>
      </c>
      <c r="D696" s="40" t="s">
        <v>215</v>
      </c>
      <c r="E696" s="39" t="s">
        <v>216</v>
      </c>
      <c r="F696" s="183"/>
      <c r="G696" s="183"/>
    </row>
    <row r="697" spans="1:7" ht="17.25" customHeight="1">
      <c r="A697" s="318" t="s">
        <v>223</v>
      </c>
      <c r="B697" s="319"/>
      <c r="C697" s="320"/>
      <c r="D697" s="40"/>
      <c r="E697" s="39"/>
      <c r="F697" s="183"/>
      <c r="G697" s="183"/>
    </row>
    <row r="698" spans="1:7" ht="17.25" customHeight="1">
      <c r="A698" s="308">
        <v>925</v>
      </c>
      <c r="B698" s="278">
        <v>2</v>
      </c>
      <c r="C698" s="278" t="s">
        <v>224</v>
      </c>
      <c r="D698" s="273" t="s">
        <v>295</v>
      </c>
      <c r="E698" s="273">
        <v>130</v>
      </c>
      <c r="F698" s="183"/>
      <c r="G698" s="183"/>
    </row>
    <row r="699" spans="1:7" ht="17.25" customHeight="1">
      <c r="A699" s="308">
        <v>927</v>
      </c>
      <c r="B699" s="278">
        <v>8</v>
      </c>
      <c r="C699" s="278" t="s">
        <v>225</v>
      </c>
      <c r="D699" s="273" t="s">
        <v>732</v>
      </c>
      <c r="E699" s="273">
        <v>604</v>
      </c>
      <c r="F699" s="183"/>
      <c r="G699" s="183"/>
    </row>
    <row r="700" spans="1:7" ht="24.75" customHeight="1">
      <c r="A700" s="308">
        <v>928</v>
      </c>
      <c r="B700" s="278">
        <v>10</v>
      </c>
      <c r="C700" s="278" t="s">
        <v>228</v>
      </c>
      <c r="D700" s="273" t="s">
        <v>733</v>
      </c>
      <c r="E700" s="278">
        <v>1102</v>
      </c>
      <c r="F700" s="183"/>
      <c r="G700" s="183"/>
    </row>
    <row r="701" spans="1:7" ht="17.25" customHeight="1">
      <c r="A701" s="40"/>
      <c r="B701" s="274">
        <f>SUM(B698:B700)</f>
        <v>20</v>
      </c>
      <c r="C701" s="274"/>
      <c r="D701" s="274"/>
      <c r="E701" s="274">
        <f>SUM(E698:E700)</f>
        <v>1836</v>
      </c>
      <c r="F701" s="183"/>
      <c r="G701" s="183"/>
    </row>
    <row r="702" spans="1:7" ht="17.25" customHeight="1">
      <c r="A702" s="318" t="s">
        <v>217</v>
      </c>
      <c r="B702" s="319"/>
      <c r="C702" s="320"/>
      <c r="D702" s="274"/>
      <c r="E702" s="274"/>
      <c r="F702" s="183"/>
      <c r="G702" s="183"/>
    </row>
    <row r="703" spans="1:7" ht="17.25" customHeight="1">
      <c r="A703" s="308">
        <v>929</v>
      </c>
      <c r="B703" s="278">
        <v>19</v>
      </c>
      <c r="C703" s="278" t="s">
        <v>225</v>
      </c>
      <c r="D703" s="262" t="s">
        <v>348</v>
      </c>
      <c r="E703" s="273">
        <v>1032</v>
      </c>
      <c r="F703" s="183"/>
      <c r="G703" s="183"/>
    </row>
    <row r="704" spans="1:7" ht="17.25" customHeight="1">
      <c r="A704" s="308">
        <v>930</v>
      </c>
      <c r="B704" s="273">
        <v>7</v>
      </c>
      <c r="C704" s="273" t="s">
        <v>228</v>
      </c>
      <c r="D704" s="262" t="s">
        <v>287</v>
      </c>
      <c r="E704" s="273">
        <v>587</v>
      </c>
      <c r="F704" s="183"/>
      <c r="G704" s="183"/>
    </row>
    <row r="705" spans="1:7" ht="17.25" customHeight="1">
      <c r="A705" s="308">
        <v>931</v>
      </c>
      <c r="B705" s="273">
        <v>4</v>
      </c>
      <c r="C705" s="242" t="s">
        <v>232</v>
      </c>
      <c r="D705" s="262" t="s">
        <v>471</v>
      </c>
      <c r="E705" s="278">
        <v>424</v>
      </c>
      <c r="F705" s="183"/>
      <c r="G705" s="183"/>
    </row>
    <row r="706" spans="1:7" ht="17.25" customHeight="1">
      <c r="A706" s="40"/>
      <c r="B706" s="274">
        <f>SUM(B703:B705)</f>
        <v>30</v>
      </c>
      <c r="C706" s="274"/>
      <c r="D706" s="274"/>
      <c r="E706" s="274">
        <f>SUM(E703:E705)</f>
        <v>2043</v>
      </c>
      <c r="F706" s="183"/>
      <c r="G706" s="183"/>
    </row>
    <row r="707" spans="1:7" ht="17.25" customHeight="1">
      <c r="A707" s="318" t="s">
        <v>229</v>
      </c>
      <c r="B707" s="319"/>
      <c r="C707" s="320"/>
      <c r="D707" s="274"/>
      <c r="E707" s="274"/>
      <c r="F707" s="183"/>
      <c r="G707" s="183"/>
    </row>
    <row r="708" spans="1:7" ht="17.25" customHeight="1">
      <c r="A708" s="308">
        <v>926</v>
      </c>
      <c r="B708" s="273">
        <v>1</v>
      </c>
      <c r="C708" s="273" t="s">
        <v>225</v>
      </c>
      <c r="D708" s="273" t="s">
        <v>735</v>
      </c>
      <c r="E708" s="273">
        <v>60</v>
      </c>
      <c r="F708" s="183"/>
      <c r="G708" s="183"/>
    </row>
    <row r="709" spans="1:7" ht="17.25" customHeight="1">
      <c r="A709" s="40"/>
      <c r="B709" s="274">
        <f>B708</f>
        <v>1</v>
      </c>
      <c r="C709" s="274"/>
      <c r="D709" s="274"/>
      <c r="E709" s="274">
        <f>E708</f>
        <v>60</v>
      </c>
      <c r="F709" s="183"/>
      <c r="G709" s="183"/>
    </row>
    <row r="710" spans="1:7" ht="17.25" customHeight="1">
      <c r="A710" s="274" t="s">
        <v>14</v>
      </c>
      <c r="B710" s="125">
        <f>B701+B706+B709</f>
        <v>51</v>
      </c>
      <c r="C710" s="125"/>
      <c r="D710" s="125"/>
      <c r="E710" s="125">
        <f>E701+E706+E709</f>
        <v>3939</v>
      </c>
      <c r="F710" s="183"/>
      <c r="G710" s="183"/>
    </row>
    <row r="711" spans="1:7" ht="17.25" customHeight="1">
      <c r="A711" s="275"/>
      <c r="B711" s="126"/>
      <c r="C711" s="127"/>
      <c r="D711" s="125"/>
      <c r="E711" s="125"/>
      <c r="F711" s="183"/>
      <c r="G711" s="183"/>
    </row>
    <row r="712" spans="1:7" ht="25.5" customHeight="1">
      <c r="A712" s="325" t="s">
        <v>744</v>
      </c>
      <c r="B712" s="326"/>
      <c r="C712" s="326"/>
      <c r="D712" s="326"/>
      <c r="E712" s="326"/>
      <c r="F712" s="183"/>
      <c r="G712" s="183"/>
    </row>
    <row r="713" spans="1:7" ht="28.5" customHeight="1">
      <c r="A713" s="40" t="s">
        <v>212</v>
      </c>
      <c r="B713" s="40" t="s">
        <v>213</v>
      </c>
      <c r="C713" s="40" t="s">
        <v>214</v>
      </c>
      <c r="D713" s="40" t="s">
        <v>215</v>
      </c>
      <c r="E713" s="39" t="s">
        <v>216</v>
      </c>
      <c r="F713" s="183"/>
      <c r="G713" s="183"/>
    </row>
    <row r="714" spans="1:7" ht="17.25" customHeight="1">
      <c r="A714" s="318" t="s">
        <v>223</v>
      </c>
      <c r="B714" s="319"/>
      <c r="C714" s="320"/>
      <c r="D714" s="40"/>
      <c r="E714" s="39"/>
      <c r="F714" s="183"/>
      <c r="G714" s="183"/>
    </row>
    <row r="715" spans="1:7" ht="17.25" customHeight="1">
      <c r="A715" s="308" t="s">
        <v>736</v>
      </c>
      <c r="B715" s="34">
        <v>1</v>
      </c>
      <c r="C715" s="34" t="s">
        <v>225</v>
      </c>
      <c r="D715" s="34" t="s">
        <v>737</v>
      </c>
      <c r="E715" s="34">
        <v>80</v>
      </c>
      <c r="F715" s="183"/>
      <c r="G715" s="183"/>
    </row>
    <row r="716" spans="1:7" ht="17.25" customHeight="1">
      <c r="A716" s="308" t="s">
        <v>738</v>
      </c>
      <c r="B716" s="34">
        <v>3</v>
      </c>
      <c r="C716" s="34" t="s">
        <v>228</v>
      </c>
      <c r="D716" s="34" t="s">
        <v>739</v>
      </c>
      <c r="E716" s="34">
        <v>348</v>
      </c>
      <c r="F716" s="183"/>
      <c r="G716" s="183"/>
    </row>
    <row r="717" spans="1:7" ht="17.25" customHeight="1">
      <c r="A717" s="40"/>
      <c r="B717" s="274">
        <f>SUM(B715:B716)</f>
        <v>4</v>
      </c>
      <c r="C717" s="274"/>
      <c r="D717" s="274"/>
      <c r="E717" s="274">
        <f>SUM(E715:E716)</f>
        <v>428</v>
      </c>
      <c r="F717" s="183"/>
      <c r="G717" s="183"/>
    </row>
    <row r="718" spans="1:7" ht="17.25" customHeight="1">
      <c r="A718" s="318" t="s">
        <v>217</v>
      </c>
      <c r="B718" s="319"/>
      <c r="C718" s="320"/>
      <c r="D718" s="274"/>
      <c r="E718" s="274"/>
      <c r="F718" s="183"/>
      <c r="G718" s="183"/>
    </row>
    <row r="719" spans="1:7" ht="17.25" customHeight="1">
      <c r="A719" s="308" t="s">
        <v>740</v>
      </c>
      <c r="B719" s="34">
        <v>1</v>
      </c>
      <c r="C719" s="34" t="s">
        <v>225</v>
      </c>
      <c r="D719" s="273" t="s">
        <v>244</v>
      </c>
      <c r="E719" s="115">
        <v>72</v>
      </c>
      <c r="F719" s="282"/>
      <c r="G719" s="183"/>
    </row>
    <row r="720" spans="1:7" ht="17.25" customHeight="1">
      <c r="A720" s="308" t="s">
        <v>741</v>
      </c>
      <c r="B720" s="34">
        <v>1</v>
      </c>
      <c r="C720" s="285" t="s">
        <v>232</v>
      </c>
      <c r="D720" s="273" t="s">
        <v>244</v>
      </c>
      <c r="E720" s="115">
        <v>115</v>
      </c>
      <c r="F720" s="282"/>
      <c r="G720" s="183"/>
    </row>
    <row r="721" spans="1:7" ht="17.25" customHeight="1">
      <c r="A721" s="308" t="s">
        <v>742</v>
      </c>
      <c r="B721" s="34">
        <v>1</v>
      </c>
      <c r="C721" s="285" t="s">
        <v>240</v>
      </c>
      <c r="D721" s="273" t="s">
        <v>743</v>
      </c>
      <c r="E721" s="115">
        <v>220</v>
      </c>
      <c r="F721" s="282"/>
      <c r="G721" s="183"/>
    </row>
    <row r="722" spans="1:7" ht="17.25" customHeight="1">
      <c r="A722" s="40"/>
      <c r="B722" s="274">
        <f>SUM(B719:B721)</f>
        <v>3</v>
      </c>
      <c r="C722" s="274"/>
      <c r="D722" s="274"/>
      <c r="E722" s="274">
        <f>SUM(E719:E721)</f>
        <v>407</v>
      </c>
      <c r="F722" s="183"/>
      <c r="G722" s="183"/>
    </row>
    <row r="723" spans="1:7" ht="17.25" customHeight="1">
      <c r="A723" s="274" t="s">
        <v>14</v>
      </c>
      <c r="B723" s="125">
        <f>B717+B722</f>
        <v>7</v>
      </c>
      <c r="C723" s="125"/>
      <c r="D723" s="125"/>
      <c r="E723" s="125">
        <f>E717+E722</f>
        <v>835</v>
      </c>
      <c r="F723" s="183"/>
      <c r="G723" s="183"/>
    </row>
    <row r="724" spans="1:7" ht="17.25" customHeight="1">
      <c r="A724" s="275"/>
      <c r="B724" s="126"/>
      <c r="C724" s="127"/>
      <c r="D724" s="125"/>
      <c r="E724" s="125"/>
      <c r="F724" s="183"/>
      <c r="G724" s="183"/>
    </row>
    <row r="725" spans="1:7" ht="28.5" customHeight="1">
      <c r="A725" s="325" t="s">
        <v>765</v>
      </c>
      <c r="B725" s="326"/>
      <c r="C725" s="326"/>
      <c r="D725" s="326"/>
      <c r="E725" s="326"/>
      <c r="F725" s="183"/>
      <c r="G725" s="183"/>
    </row>
    <row r="726" spans="1:7" ht="26.25" customHeight="1">
      <c r="A726" s="40" t="s">
        <v>212</v>
      </c>
      <c r="B726" s="40" t="s">
        <v>213</v>
      </c>
      <c r="C726" s="40" t="s">
        <v>214</v>
      </c>
      <c r="D726" s="40" t="s">
        <v>215</v>
      </c>
      <c r="E726" s="39" t="s">
        <v>216</v>
      </c>
      <c r="F726" s="183"/>
      <c r="G726" s="183"/>
    </row>
    <row r="727" spans="1:7" ht="17.25" customHeight="1">
      <c r="A727" s="318" t="s">
        <v>223</v>
      </c>
      <c r="B727" s="319"/>
      <c r="C727" s="320"/>
      <c r="D727" s="40"/>
      <c r="E727" s="39"/>
      <c r="F727" s="183"/>
      <c r="G727" s="183"/>
    </row>
    <row r="728" spans="1:7" ht="17.25" customHeight="1">
      <c r="A728" s="34" t="s">
        <v>745</v>
      </c>
      <c r="B728" s="278">
        <v>6</v>
      </c>
      <c r="C728" s="278" t="s">
        <v>224</v>
      </c>
      <c r="D728" s="283" t="s">
        <v>746</v>
      </c>
      <c r="E728" s="284">
        <v>376</v>
      </c>
      <c r="F728" s="183"/>
      <c r="G728" s="183"/>
    </row>
    <row r="729" spans="1:7" ht="17.25" customHeight="1">
      <c r="A729" s="308" t="s">
        <v>747</v>
      </c>
      <c r="B729" s="262">
        <v>8</v>
      </c>
      <c r="C729" s="262" t="s">
        <v>225</v>
      </c>
      <c r="D729" s="262" t="s">
        <v>748</v>
      </c>
      <c r="E729" s="262">
        <v>628</v>
      </c>
      <c r="F729" s="183"/>
      <c r="G729" s="183"/>
    </row>
    <row r="730" spans="1:7" ht="17.25" customHeight="1">
      <c r="A730" s="308" t="s">
        <v>749</v>
      </c>
      <c r="B730" s="262">
        <v>1</v>
      </c>
      <c r="C730" s="262" t="s">
        <v>228</v>
      </c>
      <c r="D730" s="262" t="s">
        <v>750</v>
      </c>
      <c r="E730" s="262">
        <v>108</v>
      </c>
      <c r="F730" s="183"/>
      <c r="G730" s="183"/>
    </row>
    <row r="731" spans="1:7" ht="17.25" customHeight="1">
      <c r="A731" s="40"/>
      <c r="B731" s="274">
        <f>SUM(B728:B730)</f>
        <v>15</v>
      </c>
      <c r="C731" s="274"/>
      <c r="D731" s="274"/>
      <c r="E731" s="274">
        <f>SUM(E728:E730)</f>
        <v>1112</v>
      </c>
      <c r="F731" s="183"/>
      <c r="G731" s="183"/>
    </row>
    <row r="732" spans="1:7" ht="17.25" customHeight="1">
      <c r="A732" s="318" t="s">
        <v>217</v>
      </c>
      <c r="B732" s="319"/>
      <c r="C732" s="320"/>
      <c r="D732" s="274"/>
      <c r="E732" s="274"/>
      <c r="F732" s="183"/>
      <c r="G732" s="183"/>
    </row>
    <row r="733" spans="1:7" ht="17.25" customHeight="1">
      <c r="A733" s="308" t="s">
        <v>751</v>
      </c>
      <c r="B733" s="273">
        <v>4</v>
      </c>
      <c r="C733" s="273" t="s">
        <v>224</v>
      </c>
      <c r="D733" s="273" t="s">
        <v>752</v>
      </c>
      <c r="E733" s="273">
        <v>202</v>
      </c>
      <c r="F733" s="183"/>
      <c r="G733" s="183"/>
    </row>
    <row r="734" spans="1:7" ht="27" customHeight="1">
      <c r="A734" s="308" t="s">
        <v>753</v>
      </c>
      <c r="B734" s="278">
        <v>1</v>
      </c>
      <c r="C734" s="273" t="s">
        <v>760</v>
      </c>
      <c r="D734" s="278" t="s">
        <v>775</v>
      </c>
      <c r="E734" s="273">
        <v>75</v>
      </c>
      <c r="F734" s="183"/>
      <c r="G734" s="183"/>
    </row>
    <row r="735" spans="1:7" ht="27" customHeight="1">
      <c r="A735" s="308" t="s">
        <v>754</v>
      </c>
      <c r="B735" s="278">
        <v>4</v>
      </c>
      <c r="C735" s="242" t="s">
        <v>240</v>
      </c>
      <c r="D735" s="278" t="s">
        <v>755</v>
      </c>
      <c r="E735" s="273">
        <v>861</v>
      </c>
      <c r="F735" s="183"/>
      <c r="G735" s="183"/>
    </row>
    <row r="736" spans="1:7" ht="27" customHeight="1">
      <c r="A736" s="308" t="s">
        <v>756</v>
      </c>
      <c r="B736" s="273">
        <v>1</v>
      </c>
      <c r="C736" s="242" t="s">
        <v>243</v>
      </c>
      <c r="D736" s="273" t="s">
        <v>376</v>
      </c>
      <c r="E736" s="273">
        <v>350</v>
      </c>
      <c r="F736" s="183"/>
      <c r="G736" s="183"/>
    </row>
    <row r="737" spans="1:7" ht="27" customHeight="1">
      <c r="A737" s="308" t="s">
        <v>757</v>
      </c>
      <c r="B737" s="273">
        <v>1</v>
      </c>
      <c r="C737" s="273" t="s">
        <v>224</v>
      </c>
      <c r="D737" s="273" t="s">
        <v>763</v>
      </c>
      <c r="E737" s="273">
        <v>52</v>
      </c>
      <c r="F737" s="183"/>
      <c r="G737" s="183"/>
    </row>
    <row r="738" spans="1:7" ht="27" customHeight="1">
      <c r="A738" s="308" t="s">
        <v>758</v>
      </c>
      <c r="B738" s="273">
        <v>1</v>
      </c>
      <c r="C738" s="273" t="s">
        <v>225</v>
      </c>
      <c r="D738" s="273" t="s">
        <v>763</v>
      </c>
      <c r="E738" s="273">
        <v>75</v>
      </c>
      <c r="F738" s="183"/>
      <c r="G738" s="183"/>
    </row>
    <row r="739" spans="1:7" ht="17.25" customHeight="1">
      <c r="A739" s="278" t="s">
        <v>759</v>
      </c>
      <c r="B739" s="278">
        <v>1</v>
      </c>
      <c r="C739" s="273" t="s">
        <v>228</v>
      </c>
      <c r="D739" s="278" t="s">
        <v>764</v>
      </c>
      <c r="E739" s="278">
        <v>84</v>
      </c>
      <c r="F739" s="183"/>
      <c r="G739" s="183"/>
    </row>
    <row r="740" spans="1:7" ht="17.25" customHeight="1">
      <c r="A740" s="40"/>
      <c r="B740" s="274">
        <f>SUM(B733:B739)</f>
        <v>13</v>
      </c>
      <c r="C740" s="274"/>
      <c r="D740" s="274"/>
      <c r="E740" s="274">
        <f>SUM(E733:E739)</f>
        <v>1699</v>
      </c>
      <c r="F740" s="183"/>
      <c r="G740" s="183"/>
    </row>
    <row r="741" spans="1:7" ht="17.25" customHeight="1">
      <c r="A741" s="318" t="s">
        <v>229</v>
      </c>
      <c r="B741" s="319"/>
      <c r="C741" s="320"/>
      <c r="D741" s="274"/>
      <c r="E741" s="274"/>
      <c r="F741" s="183"/>
      <c r="G741" s="183"/>
    </row>
    <row r="742" spans="1:7" ht="17.25" customHeight="1">
      <c r="A742" s="308" t="s">
        <v>761</v>
      </c>
      <c r="B742" s="278">
        <v>4</v>
      </c>
      <c r="C742" s="278" t="s">
        <v>225</v>
      </c>
      <c r="D742" s="278" t="s">
        <v>762</v>
      </c>
      <c r="E742" s="273">
        <v>236</v>
      </c>
      <c r="F742" s="183"/>
      <c r="G742" s="183"/>
    </row>
    <row r="743" spans="1:7" ht="17.25" customHeight="1">
      <c r="A743" s="40"/>
      <c r="B743" s="274">
        <f>B742</f>
        <v>4</v>
      </c>
      <c r="C743" s="274"/>
      <c r="D743" s="274"/>
      <c r="E743" s="274">
        <f>E742</f>
        <v>236</v>
      </c>
      <c r="F743" s="183"/>
      <c r="G743" s="183"/>
    </row>
    <row r="744" spans="1:7" ht="17.25" customHeight="1">
      <c r="A744" s="274" t="s">
        <v>14</v>
      </c>
      <c r="B744" s="125">
        <f>B731+B740+B743</f>
        <v>32</v>
      </c>
      <c r="C744" s="125"/>
      <c r="D744" s="125"/>
      <c r="E744" s="125">
        <f>E731+E740+E743</f>
        <v>3047</v>
      </c>
      <c r="F744" s="183"/>
      <c r="G744" s="183"/>
    </row>
    <row r="745" spans="1:7" ht="17.25" customHeight="1">
      <c r="A745" s="291"/>
      <c r="B745" s="126"/>
      <c r="C745" s="127"/>
      <c r="D745" s="125"/>
      <c r="E745" s="125"/>
      <c r="F745" s="183"/>
      <c r="G745" s="183"/>
    </row>
    <row r="746" spans="1:7" ht="26.25" customHeight="1">
      <c r="A746" s="325" t="s">
        <v>782</v>
      </c>
      <c r="B746" s="326"/>
      <c r="C746" s="326"/>
      <c r="D746" s="326"/>
      <c r="E746" s="326"/>
      <c r="F746" s="183"/>
      <c r="G746" s="183"/>
    </row>
    <row r="747" spans="1:7" ht="27" customHeight="1">
      <c r="A747" s="40" t="s">
        <v>212</v>
      </c>
      <c r="B747" s="40" t="s">
        <v>213</v>
      </c>
      <c r="C747" s="40" t="s">
        <v>214</v>
      </c>
      <c r="D747" s="40" t="s">
        <v>215</v>
      </c>
      <c r="E747" s="39" t="s">
        <v>216</v>
      </c>
      <c r="F747" s="183"/>
      <c r="G747" s="183"/>
    </row>
    <row r="748" spans="1:7" ht="17.25" customHeight="1">
      <c r="A748" s="318" t="s">
        <v>217</v>
      </c>
      <c r="B748" s="319"/>
      <c r="C748" s="320"/>
      <c r="D748" s="290"/>
      <c r="E748" s="290"/>
      <c r="F748" s="183"/>
      <c r="G748" s="183"/>
    </row>
    <row r="749" spans="1:7" ht="17.25" customHeight="1">
      <c r="A749" s="317">
        <v>136</v>
      </c>
      <c r="B749" s="184">
        <v>23</v>
      </c>
      <c r="C749" s="312" t="s">
        <v>218</v>
      </c>
      <c r="D749" s="313" t="s">
        <v>343</v>
      </c>
      <c r="E749" s="314">
        <v>1077</v>
      </c>
      <c r="F749" s="316"/>
      <c r="G749" s="183"/>
    </row>
    <row r="750" spans="1:7" ht="17.25" customHeight="1">
      <c r="A750" s="317">
        <v>137</v>
      </c>
      <c r="B750" s="184">
        <v>16</v>
      </c>
      <c r="C750" s="312" t="s">
        <v>218</v>
      </c>
      <c r="D750" s="313" t="s">
        <v>443</v>
      </c>
      <c r="E750" s="314">
        <v>738</v>
      </c>
      <c r="F750" s="183"/>
      <c r="G750" s="183"/>
    </row>
    <row r="751" spans="1:7" ht="17.25" customHeight="1">
      <c r="A751" s="40"/>
      <c r="B751" s="290">
        <f>SUM(B749:B750)</f>
        <v>39</v>
      </c>
      <c r="C751" s="290"/>
      <c r="D751" s="290"/>
      <c r="E751" s="290">
        <f>SUM(E749:E750)</f>
        <v>1815</v>
      </c>
      <c r="F751" s="316"/>
      <c r="G751" s="316"/>
    </row>
    <row r="752" spans="1:7" ht="17.25" customHeight="1">
      <c r="A752" s="290" t="s">
        <v>14</v>
      </c>
      <c r="B752" s="125">
        <f>B751</f>
        <v>39</v>
      </c>
      <c r="C752" s="125"/>
      <c r="D752" s="125"/>
      <c r="E752" s="125">
        <f>E751</f>
        <v>1815</v>
      </c>
      <c r="F752" s="183"/>
      <c r="G752" s="183"/>
    </row>
    <row r="753" spans="1:7" ht="17.25" customHeight="1">
      <c r="A753" s="275"/>
      <c r="B753" s="126"/>
      <c r="C753" s="127"/>
      <c r="D753" s="125"/>
      <c r="E753" s="125"/>
      <c r="F753" s="316"/>
      <c r="G753" s="316"/>
    </row>
    <row r="754" spans="1:8" ht="15" customHeight="1">
      <c r="A754" s="327" t="s">
        <v>22</v>
      </c>
      <c r="B754" s="328"/>
      <c r="C754" s="329"/>
      <c r="D754" s="8"/>
      <c r="E754" s="10"/>
      <c r="F754" s="120">
        <f>E755+E762+E769+E776+E784+E791+E798+E805+E814+E820+E827+E835+E842+E849+E858+E866+E873+E880+E887</f>
        <v>138.865</v>
      </c>
      <c r="H754" s="1"/>
    </row>
    <row r="755" spans="1:8" ht="15" customHeight="1">
      <c r="A755" s="39"/>
      <c r="B755" s="129"/>
      <c r="C755" s="130"/>
      <c r="D755" s="43"/>
      <c r="E755" s="44">
        <f>SUM(E757:E760)</f>
        <v>7.532</v>
      </c>
      <c r="G755" s="93"/>
      <c r="H755" s="1"/>
    </row>
    <row r="756" spans="1:18" ht="15" customHeight="1">
      <c r="A756" s="40" t="s">
        <v>5</v>
      </c>
      <c r="B756" s="325" t="s">
        <v>17</v>
      </c>
      <c r="C756" s="331"/>
      <c r="D756" s="128" t="s">
        <v>18</v>
      </c>
      <c r="E756" s="40" t="s">
        <v>7</v>
      </c>
      <c r="F756" s="98"/>
      <c r="G756" s="93" t="str">
        <f>CONCATENATE("Cable Scrap, Lying at ",B757,". Quantity in MT - ")</f>
        <v>Cable Scrap, Lying at CS Ferozepur. Quantity in MT - </v>
      </c>
      <c r="H756" s="324" t="str">
        <f ca="1">CONCATENATE(G756,G757,(INDIRECT(I757)),(INDIRECT(J757)),(INDIRECT(K757)),(INDIRECT(L757)),(INDIRECT(M757)),(INDIRECT(N757)),(INDIRECT(O757)),(INDIRECT(P757)),(INDIRECT(Q757)),(INDIRECT(R757)),".")</f>
        <v>Cable Scrap, Lying at CS Ferozepur. Quantity in MT - 2/core PVC Alumn. Cable scrap - 0.844, 4/core PVC Alumn. Cable scrap - 3, 1/ core XLPE Alu cable scrap - 0.136, 3/ core XLPE Alu cable scrap - 3.552, .</v>
      </c>
      <c r="I756" s="98" t="str">
        <f aca="true" ca="1" t="array" ref="I756">CELL("address",INDEX(G756:G777,MATCH(TRUE,ISBLANK(G756:G777),0)))</f>
        <v>$G$761</v>
      </c>
      <c r="J756" s="98">
        <f aca="true" t="array" ref="J756">MATCH(TRUE,ISBLANK(G756:G777),0)</f>
        <v>6</v>
      </c>
      <c r="K756" s="98">
        <f>J756-3</f>
        <v>3</v>
      </c>
      <c r="L756" s="98"/>
      <c r="M756" s="98"/>
      <c r="N756" s="98"/>
      <c r="O756" s="98"/>
      <c r="P756" s="98"/>
      <c r="Q756" s="98"/>
      <c r="R756" s="98"/>
    </row>
    <row r="757" spans="1:18" ht="15" customHeight="1">
      <c r="A757" s="321" t="s">
        <v>35</v>
      </c>
      <c r="B757" s="321" t="s">
        <v>99</v>
      </c>
      <c r="C757" s="321"/>
      <c r="D757" s="45" t="s">
        <v>90</v>
      </c>
      <c r="E757" s="46">
        <v>0.844</v>
      </c>
      <c r="F757" s="98"/>
      <c r="G757" s="92" t="str">
        <f>CONCATENATE(D757," - ",E757,", ")</f>
        <v>2/core PVC Alumn. Cable scrap - 0.844, </v>
      </c>
      <c r="H757" s="324"/>
      <c r="I757" s="98" t="str">
        <f ca="1">IF(J756&gt;=3,(MID(I756,2,1)&amp;MID(I756,4,4)-K756),CELL("address",Z757))</f>
        <v>G758</v>
      </c>
      <c r="J757" s="98" t="str">
        <f ca="1">IF(J756&gt;=4,(MID(I757,1,1)&amp;MID(I757,2,4)+1),CELL("address",AA757))</f>
        <v>G759</v>
      </c>
      <c r="K757" s="98" t="str">
        <f ca="1">IF(J756&gt;=5,(MID(J757,1,1)&amp;MID(J757,2,4)+1),CELL("address",AB757))</f>
        <v>G760</v>
      </c>
      <c r="L757" s="98" t="str">
        <f ca="1">IF(J756&gt;=6,(MID(K757,1,1)&amp;MID(K757,2,4)+1),CELL("address",AC757))</f>
        <v>G761</v>
      </c>
      <c r="M757" s="98" t="str">
        <f ca="1">IF(J756&gt;=7,(MID(L757,1,1)&amp;MID(L757,2,4)+1),CELL("address",AD757))</f>
        <v>$AD$757</v>
      </c>
      <c r="N757" s="98" t="str">
        <f ca="1">IF(J756&gt;=8,(MID(M757,1,1)&amp;MID(M757,2,4)+1),CELL("address",AE757))</f>
        <v>$AE$757</v>
      </c>
      <c r="O757" s="98" t="str">
        <f ca="1">IF(J756&gt;=9,(MID(N757,1,1)&amp;MID(N757,2,4)+1),CELL("address",AF757))</f>
        <v>$AF$757</v>
      </c>
      <c r="P757" s="98" t="str">
        <f ca="1">IF(J756&gt;=10,(MID(O757,1,1)&amp;MID(O757,2,4)+1),CELL("address",AG757))</f>
        <v>$AG$757</v>
      </c>
      <c r="Q757" s="98" t="str">
        <f ca="1">IF(J756&gt;=11,(MID(P757,1,1)&amp;MID(P757,2,4)+1),CELL("address",AH757))</f>
        <v>$AH$757</v>
      </c>
      <c r="R757" s="98" t="str">
        <f ca="1">IF(J756&gt;=12,(MID(Q757,1,1)&amp;MID(Q757,2,4)+1),CELL("address",AI757))</f>
        <v>$AI$757</v>
      </c>
    </row>
    <row r="758" spans="1:15" ht="15" customHeight="1">
      <c r="A758" s="321"/>
      <c r="B758" s="321"/>
      <c r="C758" s="321"/>
      <c r="D758" s="45" t="s">
        <v>91</v>
      </c>
      <c r="E758" s="46">
        <v>3</v>
      </c>
      <c r="G758" s="92" t="str">
        <f>CONCATENATE(D758," - ",E758,", ")</f>
        <v>4/core PVC Alumn. Cable scrap - 3, </v>
      </c>
      <c r="H758" s="98"/>
      <c r="I758" s="98"/>
      <c r="J758" s="98"/>
      <c r="K758" s="98"/>
      <c r="L758" s="98"/>
      <c r="M758" s="98"/>
      <c r="N758" s="98"/>
      <c r="O758" s="98"/>
    </row>
    <row r="759" spans="1:8" ht="15" customHeight="1">
      <c r="A759" s="321"/>
      <c r="B759" s="321"/>
      <c r="C759" s="321"/>
      <c r="D759" s="45" t="s">
        <v>97</v>
      </c>
      <c r="E759" s="45">
        <v>0.136</v>
      </c>
      <c r="G759" s="92" t="str">
        <f>CONCATENATE(D759," - ",E759,", ")</f>
        <v>1/ core XLPE Alu cable scrap - 0.136, </v>
      </c>
      <c r="H759" s="1"/>
    </row>
    <row r="760" spans="1:8" ht="15" customHeight="1">
      <c r="A760" s="321"/>
      <c r="B760" s="321"/>
      <c r="C760" s="321"/>
      <c r="D760" s="45" t="s">
        <v>92</v>
      </c>
      <c r="E760" s="47">
        <v>3.552</v>
      </c>
      <c r="G760" s="92" t="str">
        <f>CONCATENATE(D760," - ",E760,", ")</f>
        <v>3/ core XLPE Alu cable scrap - 3.552, </v>
      </c>
      <c r="H760" s="1"/>
    </row>
    <row r="761" spans="1:8" ht="15" customHeight="1">
      <c r="A761" s="39"/>
      <c r="B761" s="48"/>
      <c r="C761" s="276"/>
      <c r="D761" s="34"/>
      <c r="E761" s="49"/>
      <c r="H761" s="1"/>
    </row>
    <row r="762" spans="1:8" ht="15" customHeight="1">
      <c r="A762" s="40"/>
      <c r="B762" s="334"/>
      <c r="C762" s="335"/>
      <c r="D762" s="273"/>
      <c r="E762" s="52">
        <f>SUM(E764:E767)</f>
        <v>3.428</v>
      </c>
      <c r="H762" s="1"/>
    </row>
    <row r="763" spans="1:18" ht="15" customHeight="1">
      <c r="A763" s="40" t="s">
        <v>5</v>
      </c>
      <c r="B763" s="321" t="s">
        <v>17</v>
      </c>
      <c r="C763" s="321"/>
      <c r="D763" s="274" t="s">
        <v>18</v>
      </c>
      <c r="E763" s="40" t="s">
        <v>7</v>
      </c>
      <c r="F763" s="98"/>
      <c r="G763" s="93" t="str">
        <f>CONCATENATE("Cable Scrap, Lying at ",B764,". Quantity in MT - ")</f>
        <v>Cable Scrap, Lying at OL Shri Muktsar Sahib. Quantity in MT - </v>
      </c>
      <c r="H763" s="324" t="str">
        <f ca="1">CONCATENATE(G763,G764,(INDIRECT(I764)),(INDIRECT(J764)),(INDIRECT(K764)),(INDIRECT(L764)),(INDIRECT(M764)),(INDIRECT(N764)),(INDIRECT(O764)),(INDIRECT(P764)),(INDIRECT(Q764)),(INDIRECT(R764)))</f>
        <v>Cable Scrap, Lying at OL Shri Muktsar Sahib. Quantity in MT - 4/core PVC Alumn. Cable scrap - 0.727, 3/ core XLPE Alu cable scrap - 1.96, 1/core PVC Alumn. Cable scrap - 0.141, 2/core PVC Alumn. Cable scrap - 0.6, </v>
      </c>
      <c r="I763" s="98" t="str">
        <f aca="true" ca="1" t="array" ref="I763">CELL("address",INDEX(G763:G784,MATCH(TRUE,ISBLANK(G763:G784),0)))</f>
        <v>$G$768</v>
      </c>
      <c r="J763" s="98">
        <f aca="true" t="array" ref="J763">MATCH(TRUE,ISBLANK(G763:G784),0)</f>
        <v>6</v>
      </c>
      <c r="K763" s="98">
        <f>J763-3</f>
        <v>3</v>
      </c>
      <c r="L763" s="98"/>
      <c r="M763" s="98"/>
      <c r="N763" s="98"/>
      <c r="O763" s="98"/>
      <c r="P763" s="98"/>
      <c r="Q763" s="98"/>
      <c r="R763" s="98"/>
    </row>
    <row r="764" spans="1:18" ht="15" customHeight="1">
      <c r="A764" s="336" t="s">
        <v>93</v>
      </c>
      <c r="B764" s="322" t="s">
        <v>146</v>
      </c>
      <c r="C764" s="323"/>
      <c r="D764" s="45" t="s">
        <v>91</v>
      </c>
      <c r="E764" s="46">
        <v>0.727</v>
      </c>
      <c r="F764" s="98"/>
      <c r="G764" s="92" t="str">
        <f>CONCATENATE(D764," - ",E764,", ")</f>
        <v>4/core PVC Alumn. Cable scrap - 0.727, </v>
      </c>
      <c r="H764" s="324"/>
      <c r="I764" s="98" t="str">
        <f ca="1">IF(J763&gt;=3,(MID(I763,2,1)&amp;MID(I763,4,4)-K763),CELL("address",Z764))</f>
        <v>G765</v>
      </c>
      <c r="J764" s="98" t="str">
        <f ca="1">IF(J763&gt;=4,(MID(I764,1,1)&amp;MID(I764,2,4)+1),CELL("address",AA764))</f>
        <v>G766</v>
      </c>
      <c r="K764" s="98" t="str">
        <f ca="1">IF(J763&gt;=5,(MID(J764,1,1)&amp;MID(J764,2,4)+1),CELL("address",AB764))</f>
        <v>G767</v>
      </c>
      <c r="L764" s="98" t="str">
        <f ca="1">IF(J763&gt;=6,(MID(K764,1,1)&amp;MID(K764,2,4)+1),CELL("address",AC764))</f>
        <v>G768</v>
      </c>
      <c r="M764" s="98" t="str">
        <f ca="1">IF(J763&gt;=7,(MID(L764,1,1)&amp;MID(L764,2,4)+1),CELL("address",AD764))</f>
        <v>$AD$764</v>
      </c>
      <c r="N764" s="98" t="str">
        <f ca="1">IF(J763&gt;=8,(MID(M764,1,1)&amp;MID(M764,2,4)+1),CELL("address",AE764))</f>
        <v>$AE$764</v>
      </c>
      <c r="O764" s="98" t="str">
        <f ca="1">IF(J763&gt;=9,(MID(N764,1,1)&amp;MID(N764,2,4)+1),CELL("address",AF764))</f>
        <v>$AF$764</v>
      </c>
      <c r="P764" s="98" t="str">
        <f ca="1">IF(J763&gt;=10,(MID(O764,1,1)&amp;MID(O764,2,4)+1),CELL("address",AG764))</f>
        <v>$AG$764</v>
      </c>
      <c r="Q764" s="98" t="str">
        <f ca="1">IF(J763&gt;=11,(MID(P764,1,1)&amp;MID(P764,2,4)+1),CELL("address",AH764))</f>
        <v>$AH$764</v>
      </c>
      <c r="R764" s="98" t="str">
        <f ca="1">IF(J763&gt;=12,(MID(Q764,1,1)&amp;MID(Q764,2,4)+1),CELL("address",AI764))</f>
        <v>$AI$764</v>
      </c>
    </row>
    <row r="765" spans="1:15" ht="15" customHeight="1">
      <c r="A765" s="339"/>
      <c r="B765" s="343"/>
      <c r="C765" s="344"/>
      <c r="D765" s="45" t="s">
        <v>92</v>
      </c>
      <c r="E765" s="46">
        <v>1.96</v>
      </c>
      <c r="G765" s="92" t="str">
        <f>CONCATENATE(D765," - ",E765,", ")</f>
        <v>3/ core XLPE Alu cable scrap - 1.96, </v>
      </c>
      <c r="H765" s="98"/>
      <c r="I765" s="98"/>
      <c r="J765" s="98"/>
      <c r="K765" s="98"/>
      <c r="L765" s="98"/>
      <c r="M765" s="98"/>
      <c r="N765" s="98"/>
      <c r="O765" s="98"/>
    </row>
    <row r="766" spans="1:8" ht="15" customHeight="1">
      <c r="A766" s="339"/>
      <c r="B766" s="343"/>
      <c r="C766" s="344"/>
      <c r="D766" s="45" t="s">
        <v>171</v>
      </c>
      <c r="E766" s="75">
        <v>0.141</v>
      </c>
      <c r="G766" s="92" t="str">
        <f>CONCATENATE(D766," - ",E766,", ")</f>
        <v>1/core PVC Alumn. Cable scrap - 0.141, </v>
      </c>
      <c r="H766" s="1"/>
    </row>
    <row r="767" spans="1:8" ht="15" customHeight="1">
      <c r="A767" s="340"/>
      <c r="B767" s="345"/>
      <c r="C767" s="346"/>
      <c r="D767" s="45" t="s">
        <v>90</v>
      </c>
      <c r="E767" s="75">
        <v>0.6</v>
      </c>
      <c r="G767" s="92" t="str">
        <f>CONCATENATE(D767," - ",E767,", ")</f>
        <v>2/core PVC Alumn. Cable scrap - 0.6, </v>
      </c>
      <c r="H767" s="1"/>
    </row>
    <row r="768" spans="1:8" ht="15" customHeight="1">
      <c r="A768" s="40"/>
      <c r="B768" s="334"/>
      <c r="C768" s="335"/>
      <c r="D768" s="71"/>
      <c r="E768" s="75"/>
      <c r="H768" s="1"/>
    </row>
    <row r="769" spans="1:8" ht="15" customHeight="1">
      <c r="A769" s="40"/>
      <c r="B769" s="334"/>
      <c r="C769" s="335"/>
      <c r="D769" s="277"/>
      <c r="E769" s="44">
        <f>SUM(E771:E774)</f>
        <v>3.6160000000000005</v>
      </c>
      <c r="H769" s="1"/>
    </row>
    <row r="770" spans="1:18" ht="15" customHeight="1">
      <c r="A770" s="40" t="s">
        <v>5</v>
      </c>
      <c r="B770" s="325" t="s">
        <v>17</v>
      </c>
      <c r="C770" s="331"/>
      <c r="D770" s="275" t="s">
        <v>18</v>
      </c>
      <c r="E770" s="40" t="s">
        <v>7</v>
      </c>
      <c r="F770" s="98"/>
      <c r="G770" s="93" t="str">
        <f>CONCATENATE("Cable Scrap, Lying at ",B771,". Quantity in MT - ")</f>
        <v>Cable Scrap, Lying at OL Bhagta Bhai Ka. Quantity in MT - </v>
      </c>
      <c r="H770" s="324" t="str">
        <f ca="1">CONCATENATE(G770,G771,(INDIRECT(I771)),(INDIRECT(J771)),(INDIRECT(K771)),(INDIRECT(L771)),(INDIRECT(M771)),(INDIRECT(N771)),(INDIRECT(O771)),(INDIRECT(P771)),(INDIRECT(Q771)),(INDIRECT(R771)))</f>
        <v>Cable Scrap, Lying at OL Bhagta Bhai Ka. Quantity in MT - 4/core PVC Alumn. Cable scrap - 1.948, 2/core PVC Alumn. Cable scrap - 0.595, 3/ core XLPE Alu cable scrap - 0.671, ABC cable scrap (150 mm) - 0.402, </v>
      </c>
      <c r="I770" s="98" t="str">
        <f aca="true" ca="1" t="array" ref="I770">CELL("address",INDEX(G770:G791,MATCH(TRUE,ISBLANK(G770:G791),0)))</f>
        <v>$G$775</v>
      </c>
      <c r="J770" s="98">
        <f aca="true" t="array" ref="J770">MATCH(TRUE,ISBLANK(G770:G791),0)</f>
        <v>6</v>
      </c>
      <c r="K770" s="98">
        <f>J770-3</f>
        <v>3</v>
      </c>
      <c r="L770" s="98"/>
      <c r="M770" s="98"/>
      <c r="N770" s="98"/>
      <c r="O770" s="98"/>
      <c r="P770" s="98"/>
      <c r="Q770" s="98"/>
      <c r="R770" s="98"/>
    </row>
    <row r="771" spans="1:18" ht="15" customHeight="1">
      <c r="A771" s="321" t="s">
        <v>94</v>
      </c>
      <c r="B771" s="321" t="s">
        <v>100</v>
      </c>
      <c r="C771" s="321"/>
      <c r="D771" s="34" t="s">
        <v>91</v>
      </c>
      <c r="E771" s="303">
        <v>1.948</v>
      </c>
      <c r="F771" s="98">
        <v>1.928</v>
      </c>
      <c r="G771" s="92" t="str">
        <f>CONCATENATE(D771," - ",E771,", ")</f>
        <v>4/core PVC Alumn. Cable scrap - 1.948, </v>
      </c>
      <c r="H771" s="324"/>
      <c r="I771" s="98" t="str">
        <f ca="1">IF(J770&gt;=3,(MID(I770,2,1)&amp;MID(I770,4,4)-K770),CELL("address",Z771))</f>
        <v>G772</v>
      </c>
      <c r="J771" s="98" t="str">
        <f ca="1">IF(J770&gt;=4,(MID(I771,1,1)&amp;MID(I771,2,4)+1),CELL("address",AA771))</f>
        <v>G773</v>
      </c>
      <c r="K771" s="98" t="str">
        <f ca="1">IF(J770&gt;=5,(MID(J771,1,1)&amp;MID(J771,2,4)+1),CELL("address",AB771))</f>
        <v>G774</v>
      </c>
      <c r="L771" s="98" t="str">
        <f ca="1">IF(J770&gt;=6,(MID(K771,1,1)&amp;MID(K771,2,4)+1),CELL("address",AC771))</f>
        <v>G775</v>
      </c>
      <c r="M771" s="98" t="str">
        <f ca="1">IF(J770&gt;=7,(MID(L771,1,1)&amp;MID(L771,2,4)+1),CELL("address",AD771))</f>
        <v>$AD$771</v>
      </c>
      <c r="N771" s="98" t="str">
        <f ca="1">IF(J770&gt;=8,(MID(M771,1,1)&amp;MID(M771,2,4)+1),CELL("address",AE771))</f>
        <v>$AE$771</v>
      </c>
      <c r="O771" s="98" t="str">
        <f ca="1">IF(J770&gt;=9,(MID(N771,1,1)&amp;MID(N771,2,4)+1),CELL("address",AF771))</f>
        <v>$AF$771</v>
      </c>
      <c r="P771" s="98" t="str">
        <f ca="1">IF(J770&gt;=10,(MID(O771,1,1)&amp;MID(O771,2,4)+1),CELL("address",AG771))</f>
        <v>$AG$771</v>
      </c>
      <c r="Q771" s="98" t="str">
        <f ca="1">IF(J770&gt;=11,(MID(P771,1,1)&amp;MID(P771,2,4)+1),CELL("address",AH771))</f>
        <v>$AH$771</v>
      </c>
      <c r="R771" s="98" t="str">
        <f ca="1">IF(J770&gt;=12,(MID(Q771,1,1)&amp;MID(Q771,2,4)+1),CELL("address",AI771))</f>
        <v>$AI$771</v>
      </c>
    </row>
    <row r="772" spans="1:15" ht="15" customHeight="1">
      <c r="A772" s="321"/>
      <c r="B772" s="321"/>
      <c r="C772" s="321"/>
      <c r="D772" s="34" t="s">
        <v>90</v>
      </c>
      <c r="E772" s="288">
        <v>0.595</v>
      </c>
      <c r="F772" s="1">
        <v>0.567</v>
      </c>
      <c r="G772" s="92" t="str">
        <f>CONCATENATE(D772," - ",E772,", ")</f>
        <v>2/core PVC Alumn. Cable scrap - 0.595, </v>
      </c>
      <c r="H772" s="98"/>
      <c r="I772" s="98"/>
      <c r="J772" s="98"/>
      <c r="K772" s="98"/>
      <c r="L772" s="98"/>
      <c r="M772" s="98"/>
      <c r="N772" s="98"/>
      <c r="O772" s="98"/>
    </row>
    <row r="773" spans="1:8" ht="15" customHeight="1">
      <c r="A773" s="321"/>
      <c r="B773" s="321"/>
      <c r="C773" s="321"/>
      <c r="D773" s="45" t="s">
        <v>92</v>
      </c>
      <c r="E773" s="75">
        <v>0.671</v>
      </c>
      <c r="G773" s="92" t="str">
        <f>CONCATENATE(D773," - ",E773,", ")</f>
        <v>3/ core XLPE Alu cable scrap - 0.671, </v>
      </c>
      <c r="H773" s="1"/>
    </row>
    <row r="774" spans="1:8" ht="15" customHeight="1">
      <c r="A774" s="321"/>
      <c r="B774" s="321"/>
      <c r="C774" s="321"/>
      <c r="D774" s="45" t="s">
        <v>245</v>
      </c>
      <c r="E774" s="75">
        <v>0.402</v>
      </c>
      <c r="G774" s="92" t="str">
        <f>CONCATENATE(D774," - ",E774,", ")</f>
        <v>ABC cable scrap (150 mm) - 0.402, </v>
      </c>
      <c r="H774" s="1"/>
    </row>
    <row r="775" spans="1:8" ht="15" customHeight="1">
      <c r="A775" s="39"/>
      <c r="B775" s="41"/>
      <c r="C775" s="42"/>
      <c r="D775" s="71"/>
      <c r="E775" s="75"/>
      <c r="H775" s="1"/>
    </row>
    <row r="776" spans="1:8" ht="15" customHeight="1">
      <c r="A776" s="40"/>
      <c r="B776" s="334"/>
      <c r="C776" s="335"/>
      <c r="D776" s="308"/>
      <c r="E776" s="52">
        <f>SUM(E778:E782)</f>
        <v>17.679000000000002</v>
      </c>
      <c r="H776" s="1"/>
    </row>
    <row r="777" spans="1:18" ht="15" customHeight="1">
      <c r="A777" s="40" t="s">
        <v>5</v>
      </c>
      <c r="B777" s="321" t="s">
        <v>17</v>
      </c>
      <c r="C777" s="321"/>
      <c r="D777" s="296" t="s">
        <v>18</v>
      </c>
      <c r="E777" s="40" t="s">
        <v>7</v>
      </c>
      <c r="G777" s="93" t="str">
        <f>CONCATENATE("Cable Scrap, Lying at ",B778,". Quantity in MT - ")</f>
        <v>Cable Scrap, Lying at CS Bathinda. Quantity in MT - </v>
      </c>
      <c r="H777" s="324" t="str">
        <f ca="1">CONCATENATE(G777,G778,(INDIRECT(I778)),(INDIRECT(J778)),(INDIRECT(K778)),(INDIRECT(L778)),(INDIRECT(M778)),(INDIRECT(N778)),(INDIRECT(O778)),(INDIRECT(P778)),(INDIRECT(Q778)),(INDIRECT(R778)))</f>
        <v>Cable Scrap, Lying at CS Bathinda. Quantity in MT - 2/core PVC Alumn. Cable scrap - 0.523, 4/core PVC Alumn. Cable scrap - 2.341, 1/ core XLPE Alu cable scrap - 0.148, 3/ core XLPE Alu cable scrap - 8.421, ABC cable scrap (70/95 mm) - 6.246, </v>
      </c>
      <c r="I777" s="98" t="str">
        <f aca="true" ca="1" t="array" ref="I777">CELL("address",INDEX(G777:G798,MATCH(TRUE,ISBLANK(G777:G798),0)))</f>
        <v>$G$783</v>
      </c>
      <c r="J777" s="98">
        <f aca="true" t="array" ref="J777">MATCH(TRUE,ISBLANK(G777:G798),0)</f>
        <v>7</v>
      </c>
      <c r="K777" s="98">
        <f>J777-3</f>
        <v>4</v>
      </c>
      <c r="L777" s="98"/>
      <c r="M777" s="98"/>
      <c r="N777" s="98"/>
      <c r="O777" s="98"/>
      <c r="P777" s="98"/>
      <c r="Q777" s="98"/>
      <c r="R777" s="98"/>
    </row>
    <row r="778" spans="1:18" ht="15" customHeight="1">
      <c r="A778" s="321" t="s">
        <v>96</v>
      </c>
      <c r="B778" s="321" t="s">
        <v>63</v>
      </c>
      <c r="C778" s="321"/>
      <c r="D778" s="34" t="s">
        <v>90</v>
      </c>
      <c r="E778" s="303">
        <v>0.523</v>
      </c>
      <c r="F778" s="98">
        <v>5.324</v>
      </c>
      <c r="G778" s="92" t="str">
        <f>CONCATENATE(D778," - ",E778,", ")</f>
        <v>2/core PVC Alumn. Cable scrap - 0.523, </v>
      </c>
      <c r="H778" s="324"/>
      <c r="I778" s="98" t="str">
        <f ca="1">IF(J777&gt;=3,(MID(I777,2,1)&amp;MID(I777,4,4)-K777),CELL("address",Z778))</f>
        <v>G779</v>
      </c>
      <c r="J778" s="98" t="str">
        <f ca="1">IF(J777&gt;=4,(MID(I778,1,1)&amp;MID(I778,2,4)+1),CELL("address",AA778))</f>
        <v>G780</v>
      </c>
      <c r="K778" s="98" t="str">
        <f ca="1">IF(J777&gt;=5,(MID(J778,1,1)&amp;MID(J778,2,4)+1),CELL("address",AB778))</f>
        <v>G781</v>
      </c>
      <c r="L778" s="98" t="str">
        <f ca="1">IF(J777&gt;=6,(MID(K778,1,1)&amp;MID(K778,2,4)+1),CELL("address",AC778))</f>
        <v>G782</v>
      </c>
      <c r="M778" s="98" t="str">
        <f ca="1">IF(J777&gt;=7,(MID(L778,1,1)&amp;MID(L778,2,4)+1),CELL("address",AD778))</f>
        <v>G783</v>
      </c>
      <c r="N778" s="98" t="str">
        <f ca="1">IF(J777&gt;=8,(MID(M778,1,1)&amp;MID(M778,2,4)+1),CELL("address",AE778))</f>
        <v>$AE$778</v>
      </c>
      <c r="O778" s="98" t="str">
        <f ca="1">IF(J777&gt;=9,(MID(N778,1,1)&amp;MID(N778,2,4)+1),CELL("address",AF778))</f>
        <v>$AF$778</v>
      </c>
      <c r="P778" s="98" t="str">
        <f ca="1">IF(J777&gt;=10,(MID(O778,1,1)&amp;MID(O778,2,4)+1),CELL("address",AG778))</f>
        <v>$AG$778</v>
      </c>
      <c r="Q778" s="98" t="str">
        <f ca="1">IF(J777&gt;=11,(MID(P778,1,1)&amp;MID(P778,2,4)+1),CELL("address",AH778))</f>
        <v>$AH$778</v>
      </c>
      <c r="R778" s="98" t="str">
        <f ca="1">IF(J777&gt;=12,(MID(Q778,1,1)&amp;MID(Q778,2,4)+1),CELL("address",AI778))</f>
        <v>$AI$778</v>
      </c>
    </row>
    <row r="779" spans="1:15" ht="15" customHeight="1">
      <c r="A779" s="321"/>
      <c r="B779" s="321"/>
      <c r="C779" s="321"/>
      <c r="D779" s="34" t="s">
        <v>91</v>
      </c>
      <c r="E779" s="303">
        <v>2.341</v>
      </c>
      <c r="F779" s="98">
        <v>2.26</v>
      </c>
      <c r="G779" s="92" t="str">
        <f>CONCATENATE(D779," - ",E779,", ")</f>
        <v>4/core PVC Alumn. Cable scrap - 2.341, </v>
      </c>
      <c r="H779" s="98"/>
      <c r="I779" s="98"/>
      <c r="J779" s="98"/>
      <c r="K779" s="98"/>
      <c r="L779" s="98"/>
      <c r="M779" s="98"/>
      <c r="N779" s="98"/>
      <c r="O779" s="98"/>
    </row>
    <row r="780" spans="1:15" ht="15" customHeight="1">
      <c r="A780" s="321"/>
      <c r="B780" s="321"/>
      <c r="C780" s="321"/>
      <c r="D780" s="45" t="s">
        <v>97</v>
      </c>
      <c r="E780" s="47">
        <v>0.148</v>
      </c>
      <c r="G780" s="92" t="str">
        <f>CONCATENATE(D780," - ",E780,", ")</f>
        <v>1/ core XLPE Alu cable scrap - 0.148, </v>
      </c>
      <c r="H780" s="98"/>
      <c r="I780" s="98"/>
      <c r="J780" s="98"/>
      <c r="K780" s="98"/>
      <c r="L780" s="98"/>
      <c r="M780" s="98"/>
      <c r="N780" s="98"/>
      <c r="O780" s="98"/>
    </row>
    <row r="781" spans="1:8" ht="15" customHeight="1">
      <c r="A781" s="321"/>
      <c r="B781" s="321"/>
      <c r="C781" s="321"/>
      <c r="D781" s="34" t="s">
        <v>92</v>
      </c>
      <c r="E781" s="77">
        <v>8.421</v>
      </c>
      <c r="F781" s="1">
        <v>5.991</v>
      </c>
      <c r="G781" s="92" t="str">
        <f>CONCATENATE(D781," - ",E781,", ")</f>
        <v>3/ core XLPE Alu cable scrap - 8.421, </v>
      </c>
      <c r="H781" s="1"/>
    </row>
    <row r="782" spans="1:8" ht="15" customHeight="1">
      <c r="A782" s="321"/>
      <c r="B782" s="321"/>
      <c r="C782" s="321"/>
      <c r="D782" s="34" t="s">
        <v>168</v>
      </c>
      <c r="E782" s="77">
        <v>6.246</v>
      </c>
      <c r="F782" s="1">
        <v>5.324</v>
      </c>
      <c r="G782" s="92" t="str">
        <f>CONCATENATE(D782," - ",E782,", ")</f>
        <v>ABC cable scrap (70/95 mm) - 6.246, </v>
      </c>
      <c r="H782" s="1"/>
    </row>
    <row r="783" spans="1:8" ht="15" customHeight="1">
      <c r="A783" s="39"/>
      <c r="B783" s="41"/>
      <c r="C783" s="42"/>
      <c r="D783" s="76"/>
      <c r="E783" s="77"/>
      <c r="H783" s="1"/>
    </row>
    <row r="784" spans="1:8" ht="15" customHeight="1">
      <c r="A784" s="39"/>
      <c r="B784" s="305"/>
      <c r="C784" s="306"/>
      <c r="D784" s="309"/>
      <c r="E784" s="167">
        <f>SUM(E786:E789)</f>
        <v>5.991</v>
      </c>
      <c r="H784" s="1"/>
    </row>
    <row r="785" spans="1:18" ht="15" customHeight="1">
      <c r="A785" s="40" t="s">
        <v>5</v>
      </c>
      <c r="B785" s="325" t="s">
        <v>17</v>
      </c>
      <c r="C785" s="331"/>
      <c r="D785" s="299" t="s">
        <v>18</v>
      </c>
      <c r="E785" s="39" t="s">
        <v>7</v>
      </c>
      <c r="F785" s="98"/>
      <c r="G785" s="93" t="str">
        <f>CONCATENATE("Cable Scrap, Lying at ",B786,". Quantity in MT - ")</f>
        <v>Cable Scrap, Lying at OL Mansa. Quantity in MT - </v>
      </c>
      <c r="H785" s="324" t="str">
        <f ca="1">CONCATENATE(G785,G786,(INDIRECT(I786)),(INDIRECT(J786)),(INDIRECT(K786)),(INDIRECT(L786)),(INDIRECT(M786)),(INDIRECT(N786)),(INDIRECT(O786)),(INDIRECT(P786)),(INDIRECT(Q786)),(INDIRECT(R786)))</f>
        <v>Cable Scrap, Lying at OL Mansa. Quantity in MT - 2/core PVC Alumn. Cable scrap - 0.906, 4/core PVC Alumn. Cable scrap - 2.357, 3/ core XLPE Alu cable scrap - 2.638, ABC cable scrap (70/95 mm) - 0.09, </v>
      </c>
      <c r="I785" s="98" t="str">
        <f aca="true" ca="1" t="array" ref="I785">CELL("address",INDEX(G785:G806,MATCH(TRUE,ISBLANK(G785:G806),0)))</f>
        <v>$G$790</v>
      </c>
      <c r="J785" s="98">
        <f aca="true" t="array" ref="J785">MATCH(TRUE,ISBLANK(G785:G806),0)</f>
        <v>6</v>
      </c>
      <c r="K785" s="98">
        <f>J785-3</f>
        <v>3</v>
      </c>
      <c r="L785" s="98"/>
      <c r="M785" s="98"/>
      <c r="N785" s="98"/>
      <c r="O785" s="98"/>
      <c r="P785" s="98"/>
      <c r="Q785" s="98"/>
      <c r="R785" s="98"/>
    </row>
    <row r="786" spans="1:18" ht="15" customHeight="1">
      <c r="A786" s="321" t="s">
        <v>189</v>
      </c>
      <c r="B786" s="321" t="s">
        <v>59</v>
      </c>
      <c r="C786" s="321"/>
      <c r="D786" s="34" t="s">
        <v>90</v>
      </c>
      <c r="E786" s="304">
        <v>0.906</v>
      </c>
      <c r="F786" s="98">
        <v>0.821</v>
      </c>
      <c r="G786" s="92" t="str">
        <f>CONCATENATE(D786," - ",E786,", ")</f>
        <v>2/core PVC Alumn. Cable scrap - 0.906, </v>
      </c>
      <c r="H786" s="324"/>
      <c r="I786" s="98" t="str">
        <f ca="1">IF(J785&gt;=3,(MID(I785,2,1)&amp;MID(I785,4,4)-K785),CELL("address",Z786))</f>
        <v>G787</v>
      </c>
      <c r="J786" s="98" t="str">
        <f ca="1">IF(J785&gt;=4,(MID(I786,1,1)&amp;MID(I786,2,4)+1),CELL("address",AA786))</f>
        <v>G788</v>
      </c>
      <c r="K786" s="98" t="str">
        <f ca="1">IF(J785&gt;=5,(MID(J786,1,1)&amp;MID(J786,2,4)+1),CELL("address",AB786))</f>
        <v>G789</v>
      </c>
      <c r="L786" s="98" t="str">
        <f ca="1">IF(J785&gt;=6,(MID(K786,1,1)&amp;MID(K786,2,4)+1),CELL("address",AC786))</f>
        <v>G790</v>
      </c>
      <c r="M786" s="98" t="str">
        <f ca="1">IF(J785&gt;=7,(MID(L786,1,1)&amp;MID(L786,2,4)+1),CELL("address",AD786))</f>
        <v>$AD$786</v>
      </c>
      <c r="N786" s="98" t="str">
        <f ca="1">IF(J785&gt;=8,(MID(M786,1,1)&amp;MID(M786,2,4)+1),CELL("address",AE786))</f>
        <v>$AE$786</v>
      </c>
      <c r="O786" s="98" t="str">
        <f ca="1">IF(J785&gt;=9,(MID(N786,1,1)&amp;MID(N786,2,4)+1),CELL("address",AF786))</f>
        <v>$AF$786</v>
      </c>
      <c r="P786" s="98" t="str">
        <f ca="1">IF(J785&gt;=10,(MID(O786,1,1)&amp;MID(O786,2,4)+1),CELL("address",AG786))</f>
        <v>$AG$786</v>
      </c>
      <c r="Q786" s="98" t="str">
        <f ca="1">IF(J785&gt;=11,(MID(P786,1,1)&amp;MID(P786,2,4)+1),CELL("address",AH786))</f>
        <v>$AH$786</v>
      </c>
      <c r="R786" s="98" t="str">
        <f ca="1">IF(J785&gt;=12,(MID(Q786,1,1)&amp;MID(Q786,2,4)+1),CELL("address",AI786))</f>
        <v>$AI$786</v>
      </c>
    </row>
    <row r="787" spans="1:15" ht="15" customHeight="1">
      <c r="A787" s="321"/>
      <c r="B787" s="321"/>
      <c r="C787" s="321"/>
      <c r="D787" s="34" t="s">
        <v>91</v>
      </c>
      <c r="E787" s="304">
        <v>2.357</v>
      </c>
      <c r="F787" s="1">
        <v>2.131</v>
      </c>
      <c r="G787" s="92" t="str">
        <f>CONCATENATE(D787," - ",E787,", ")</f>
        <v>4/core PVC Alumn. Cable scrap - 2.357, </v>
      </c>
      <c r="H787" s="98"/>
      <c r="I787" s="98"/>
      <c r="J787" s="98"/>
      <c r="K787" s="98"/>
      <c r="L787" s="98"/>
      <c r="M787" s="98"/>
      <c r="N787" s="98"/>
      <c r="O787" s="98"/>
    </row>
    <row r="788" spans="1:8" ht="15" customHeight="1">
      <c r="A788" s="321"/>
      <c r="B788" s="321"/>
      <c r="C788" s="321"/>
      <c r="D788" s="34" t="s">
        <v>92</v>
      </c>
      <c r="E788" s="304">
        <v>2.638</v>
      </c>
      <c r="F788" s="1">
        <v>1.881</v>
      </c>
      <c r="G788" s="92" t="str">
        <f>CONCATENATE(D788," - ",E788,", ")</f>
        <v>3/ core XLPE Alu cable scrap - 2.638, </v>
      </c>
      <c r="H788" s="1"/>
    </row>
    <row r="789" spans="1:8" ht="15" customHeight="1">
      <c r="A789" s="321"/>
      <c r="B789" s="321"/>
      <c r="C789" s="321"/>
      <c r="D789" s="45" t="s">
        <v>168</v>
      </c>
      <c r="E789" s="168">
        <v>0.09</v>
      </c>
      <c r="G789" s="92" t="str">
        <f>CONCATENATE(D789," - ",E789,", ")</f>
        <v>ABC cable scrap (70/95 mm) - 0.09, </v>
      </c>
      <c r="H789" s="1"/>
    </row>
    <row r="790" spans="1:8" ht="15" customHeight="1">
      <c r="A790" s="39"/>
      <c r="B790" s="41"/>
      <c r="C790" s="42"/>
      <c r="D790" s="76"/>
      <c r="E790" s="169"/>
      <c r="H790" s="1"/>
    </row>
    <row r="791" spans="1:8" ht="15" customHeight="1">
      <c r="A791" s="39"/>
      <c r="B791" s="305"/>
      <c r="C791" s="306"/>
      <c r="D791" s="309"/>
      <c r="E791" s="167">
        <f>SUM(E793:E796)</f>
        <v>13.472</v>
      </c>
      <c r="H791" s="1"/>
    </row>
    <row r="792" spans="1:18" ht="15" customHeight="1">
      <c r="A792" s="40" t="s">
        <v>5</v>
      </c>
      <c r="B792" s="325" t="s">
        <v>17</v>
      </c>
      <c r="C792" s="331"/>
      <c r="D792" s="299" t="s">
        <v>18</v>
      </c>
      <c r="E792" s="39" t="s">
        <v>7</v>
      </c>
      <c r="F792" s="98"/>
      <c r="G792" s="93" t="str">
        <f>CONCATENATE("Cable Scrap, Lying at ",B793,". Quantity in MT - ")</f>
        <v>Cable Scrap, Lying at CS Kotkapura. Quantity in MT - </v>
      </c>
      <c r="H792" s="324" t="str">
        <f ca="1">CONCATENATE(G792,G793,(INDIRECT(I793)),(INDIRECT(J793)),(INDIRECT(K793)),(INDIRECT(L793)),(INDIRECT(M793)),(INDIRECT(N793)),(INDIRECT(O793)),(INDIRECT(P793)),(INDIRECT(Q793)),(INDIRECT(R793)))</f>
        <v>Cable Scrap, Lying at CS Kotkapura. Quantity in MT - 2/core PVC Alumn. Cable scrap - 1.806, 4/core PVC Alumn. Cable scrap - 3.196, 3/ core XLPE Alu cable scrap - 8.389, 1/ core XLPE Alu cable scrap - 0.081, </v>
      </c>
      <c r="I792" s="98" t="str">
        <f aca="true" ca="1" t="array" ref="I792">CELL("address",INDEX(G792:G813,MATCH(TRUE,ISBLANK(G792:G813),0)))</f>
        <v>$G$797</v>
      </c>
      <c r="J792" s="98">
        <f aca="true" t="array" ref="J792">MATCH(TRUE,ISBLANK(G792:G813),0)</f>
        <v>6</v>
      </c>
      <c r="K792" s="98">
        <f>J792-3</f>
        <v>3</v>
      </c>
      <c r="L792" s="98"/>
      <c r="M792" s="98"/>
      <c r="N792" s="98"/>
      <c r="O792" s="98"/>
      <c r="P792" s="98"/>
      <c r="Q792" s="98"/>
      <c r="R792" s="98"/>
    </row>
    <row r="793" spans="1:18" ht="15" customHeight="1">
      <c r="A793" s="321" t="s">
        <v>191</v>
      </c>
      <c r="B793" s="321" t="s">
        <v>43</v>
      </c>
      <c r="C793" s="321"/>
      <c r="D793" s="45" t="s">
        <v>90</v>
      </c>
      <c r="E793" s="69">
        <v>1.806</v>
      </c>
      <c r="F793" s="98"/>
      <c r="G793" s="92" t="str">
        <f>CONCATENATE(D793," - ",E793,", ")</f>
        <v>2/core PVC Alumn. Cable scrap - 1.806, </v>
      </c>
      <c r="H793" s="324"/>
      <c r="I793" s="98" t="str">
        <f ca="1">IF(J792&gt;=3,(MID(I792,2,1)&amp;MID(I792,4,4)-K792),CELL("address",Z793))</f>
        <v>G794</v>
      </c>
      <c r="J793" s="98" t="str">
        <f ca="1">IF(J792&gt;=4,(MID(I793,1,1)&amp;MID(I793,2,4)+1),CELL("address",AA793))</f>
        <v>G795</v>
      </c>
      <c r="K793" s="98" t="str">
        <f ca="1">IF(J792&gt;=5,(MID(J793,1,1)&amp;MID(J793,2,4)+1),CELL("address",AB793))</f>
        <v>G796</v>
      </c>
      <c r="L793" s="98" t="str">
        <f ca="1">IF(J792&gt;=6,(MID(K793,1,1)&amp;MID(K793,2,4)+1),CELL("address",AC793))</f>
        <v>G797</v>
      </c>
      <c r="M793" s="98" t="str">
        <f ca="1">IF(J792&gt;=7,(MID(L793,1,1)&amp;MID(L793,2,4)+1),CELL("address",AD793))</f>
        <v>$AD$793</v>
      </c>
      <c r="N793" s="98" t="str">
        <f ca="1">IF(J792&gt;=8,(MID(M793,1,1)&amp;MID(M793,2,4)+1),CELL("address",AE793))</f>
        <v>$AE$793</v>
      </c>
      <c r="O793" s="98" t="str">
        <f ca="1">IF(J792&gt;=9,(MID(N793,1,1)&amp;MID(N793,2,4)+1),CELL("address",AF793))</f>
        <v>$AF$793</v>
      </c>
      <c r="P793" s="98" t="str">
        <f ca="1">IF(J792&gt;=10,(MID(O793,1,1)&amp;MID(O793,2,4)+1),CELL("address",AG793))</f>
        <v>$AG$793</v>
      </c>
      <c r="Q793" s="98" t="str">
        <f ca="1">IF(J792&gt;=11,(MID(P793,1,1)&amp;MID(P793,2,4)+1),CELL("address",AH793))</f>
        <v>$AH$793</v>
      </c>
      <c r="R793" s="98" t="str">
        <f ca="1">IF(J792&gt;=12,(MID(Q793,1,1)&amp;MID(Q793,2,4)+1),CELL("address",AI793))</f>
        <v>$AI$793</v>
      </c>
    </row>
    <row r="794" spans="1:15" ht="15" customHeight="1">
      <c r="A794" s="321"/>
      <c r="B794" s="321"/>
      <c r="C794" s="321"/>
      <c r="D794" s="45" t="s">
        <v>91</v>
      </c>
      <c r="E794" s="69">
        <v>3.196</v>
      </c>
      <c r="G794" s="92" t="str">
        <f>CONCATENATE(D794," - ",E794,", ")</f>
        <v>4/core PVC Alumn. Cable scrap - 3.196, </v>
      </c>
      <c r="H794" s="98"/>
      <c r="I794" s="98"/>
      <c r="J794" s="98"/>
      <c r="K794" s="98"/>
      <c r="L794" s="98"/>
      <c r="M794" s="98"/>
      <c r="N794" s="98"/>
      <c r="O794" s="98"/>
    </row>
    <row r="795" spans="1:8" ht="15" customHeight="1">
      <c r="A795" s="321"/>
      <c r="B795" s="321"/>
      <c r="C795" s="321"/>
      <c r="D795" s="45" t="s">
        <v>92</v>
      </c>
      <c r="E795" s="119">
        <v>8.389</v>
      </c>
      <c r="G795" s="92" t="str">
        <f>CONCATENATE(D795," - ",E795,", ")</f>
        <v>3/ core XLPE Alu cable scrap - 8.389, </v>
      </c>
      <c r="H795" s="1"/>
    </row>
    <row r="796" spans="1:8" ht="15" customHeight="1">
      <c r="A796" s="321"/>
      <c r="B796" s="321"/>
      <c r="C796" s="321"/>
      <c r="D796" s="45" t="s">
        <v>97</v>
      </c>
      <c r="E796" s="119">
        <v>0.081</v>
      </c>
      <c r="G796" s="92" t="str">
        <f>CONCATENATE(D796," - ",E796,", ")</f>
        <v>1/ core XLPE Alu cable scrap - 0.081, </v>
      </c>
      <c r="H796" s="1"/>
    </row>
    <row r="797" spans="1:8" ht="15" customHeight="1">
      <c r="A797" s="39"/>
      <c r="B797" s="41"/>
      <c r="C797" s="42"/>
      <c r="D797" s="34"/>
      <c r="E797" s="155"/>
      <c r="H797" s="1"/>
    </row>
    <row r="798" spans="1:8" ht="15" customHeight="1">
      <c r="A798" s="39"/>
      <c r="B798" s="305"/>
      <c r="C798" s="306"/>
      <c r="D798" s="309"/>
      <c r="E798" s="167">
        <f>SUM(E800:E803)</f>
        <v>4.941999999999999</v>
      </c>
      <c r="H798" s="1"/>
    </row>
    <row r="799" spans="1:18" ht="15" customHeight="1">
      <c r="A799" s="40" t="s">
        <v>5</v>
      </c>
      <c r="B799" s="325" t="s">
        <v>17</v>
      </c>
      <c r="C799" s="331"/>
      <c r="D799" s="299" t="s">
        <v>18</v>
      </c>
      <c r="E799" s="39" t="s">
        <v>7</v>
      </c>
      <c r="F799" s="98"/>
      <c r="G799" s="93" t="str">
        <f>CONCATENATE("Cable Scrap, Lying at ",B800,". Quantity in MT - ")</f>
        <v>Cable Scrap, Lying at OL Patran. Quantity in MT - </v>
      </c>
      <c r="H799" s="324" t="str">
        <f ca="1">CONCATENATE(G799,G800,(INDIRECT(I800)),(INDIRECT(J800)),(INDIRECT(K800)),(INDIRECT(L800)),(INDIRECT(M800)),(INDIRECT(N800)),(INDIRECT(O800)),(INDIRECT(P800)),(INDIRECT(Q800)),(INDIRECT(R800)))</f>
        <v>Cable Scrap, Lying at OL Patran. Quantity in MT - 2/core PVC Alumn. Cable scrap - 0.816, 4/core PVC Alumn. Cable scrap - 1.353, 3/ core XLPE Alu cable scrap - 2.508, ABC cable scrap (150 mm) - 0.265, </v>
      </c>
      <c r="I799" s="98" t="str">
        <f aca="true" ca="1" t="array" ref="I799">CELL("address",INDEX(G799:G820,MATCH(TRUE,ISBLANK(G799:G820),0)))</f>
        <v>$G$804</v>
      </c>
      <c r="J799" s="98">
        <f aca="true" t="array" ref="J799">MATCH(TRUE,ISBLANK(G799:G820),0)</f>
        <v>6</v>
      </c>
      <c r="K799" s="98">
        <f>J799-3</f>
        <v>3</v>
      </c>
      <c r="L799" s="98"/>
      <c r="M799" s="98"/>
      <c r="N799" s="98"/>
      <c r="O799" s="98"/>
      <c r="P799" s="98"/>
      <c r="Q799" s="98"/>
      <c r="R799" s="98"/>
    </row>
    <row r="800" spans="1:18" ht="15" customHeight="1">
      <c r="A800" s="321" t="s">
        <v>167</v>
      </c>
      <c r="B800" s="321" t="s">
        <v>102</v>
      </c>
      <c r="C800" s="321"/>
      <c r="D800" s="45" t="s">
        <v>90</v>
      </c>
      <c r="E800" s="69">
        <v>0.816</v>
      </c>
      <c r="F800" s="98"/>
      <c r="G800" s="92" t="str">
        <f>CONCATENATE(D800," - ",E800,", ")</f>
        <v>2/core PVC Alumn. Cable scrap - 0.816, </v>
      </c>
      <c r="H800" s="324"/>
      <c r="I800" s="98" t="str">
        <f ca="1">IF(J799&gt;=3,(MID(I799,2,1)&amp;MID(I799,4,4)-K799),CELL("address",Z800))</f>
        <v>G801</v>
      </c>
      <c r="J800" s="98" t="str">
        <f ca="1">IF(J799&gt;=4,(MID(I800,1,1)&amp;MID(I800,2,4)+1),CELL("address",AA800))</f>
        <v>G802</v>
      </c>
      <c r="K800" s="98" t="str">
        <f ca="1">IF(J799&gt;=5,(MID(J800,1,1)&amp;MID(J800,2,4)+1),CELL("address",AB800))</f>
        <v>G803</v>
      </c>
      <c r="L800" s="98" t="str">
        <f ca="1">IF(J799&gt;=6,(MID(K800,1,1)&amp;MID(K800,2,4)+1),CELL("address",AC800))</f>
        <v>G804</v>
      </c>
      <c r="M800" s="98" t="str">
        <f ca="1">IF(J799&gt;=7,(MID(L800,1,1)&amp;MID(L800,2,4)+1),CELL("address",AD800))</f>
        <v>$AD$800</v>
      </c>
      <c r="N800" s="98" t="str">
        <f ca="1">IF(J799&gt;=8,(MID(M800,1,1)&amp;MID(M800,2,4)+1),CELL("address",AE800))</f>
        <v>$AE$800</v>
      </c>
      <c r="O800" s="98" t="str">
        <f ca="1">IF(J799&gt;=9,(MID(N800,1,1)&amp;MID(N800,2,4)+1),CELL("address",AF800))</f>
        <v>$AF$800</v>
      </c>
      <c r="P800" s="98" t="str">
        <f ca="1">IF(J799&gt;=10,(MID(O800,1,1)&amp;MID(O800,2,4)+1),CELL("address",AG800))</f>
        <v>$AG$800</v>
      </c>
      <c r="Q800" s="98" t="str">
        <f ca="1">IF(J799&gt;=11,(MID(P800,1,1)&amp;MID(P800,2,4)+1),CELL("address",AH800))</f>
        <v>$AH$800</v>
      </c>
      <c r="R800" s="98" t="str">
        <f ca="1">IF(J799&gt;=12,(MID(Q800,1,1)&amp;MID(Q800,2,4)+1),CELL("address",AI800))</f>
        <v>$AI$800</v>
      </c>
    </row>
    <row r="801" spans="1:15" ht="15" customHeight="1">
      <c r="A801" s="321"/>
      <c r="B801" s="321"/>
      <c r="C801" s="321"/>
      <c r="D801" s="45" t="s">
        <v>91</v>
      </c>
      <c r="E801" s="69">
        <v>1.353</v>
      </c>
      <c r="G801" s="92" t="str">
        <f>CONCATENATE(D801," - ",E801,", ")</f>
        <v>4/core PVC Alumn. Cable scrap - 1.353, </v>
      </c>
      <c r="H801" s="98"/>
      <c r="I801" s="98"/>
      <c r="J801" s="98"/>
      <c r="K801" s="98"/>
      <c r="L801" s="98"/>
      <c r="M801" s="98"/>
      <c r="N801" s="98"/>
      <c r="O801" s="98"/>
    </row>
    <row r="802" spans="1:8" ht="15" customHeight="1">
      <c r="A802" s="321"/>
      <c r="B802" s="321"/>
      <c r="C802" s="321"/>
      <c r="D802" s="45" t="s">
        <v>92</v>
      </c>
      <c r="E802" s="69">
        <v>2.508</v>
      </c>
      <c r="G802" s="92" t="str">
        <f>CONCATENATE(D802," - ",E802,", ")</f>
        <v>3/ core XLPE Alu cable scrap - 2.508, </v>
      </c>
      <c r="H802" s="1"/>
    </row>
    <row r="803" spans="1:8" ht="15" customHeight="1">
      <c r="A803" s="321"/>
      <c r="B803" s="321"/>
      <c r="C803" s="321"/>
      <c r="D803" s="45" t="s">
        <v>245</v>
      </c>
      <c r="E803" s="69">
        <v>0.265</v>
      </c>
      <c r="G803" s="92" t="str">
        <f>CONCATENATE(D803," - ",E803,", ")</f>
        <v>ABC cable scrap (150 mm) - 0.265, </v>
      </c>
      <c r="H803" s="1"/>
    </row>
    <row r="804" spans="1:8" ht="15" customHeight="1">
      <c r="A804" s="39"/>
      <c r="B804" s="41"/>
      <c r="C804" s="42"/>
      <c r="D804" s="34"/>
      <c r="E804" s="155"/>
      <c r="F804" s="120"/>
      <c r="H804" s="1"/>
    </row>
    <row r="805" spans="1:8" ht="15" customHeight="1">
      <c r="A805" s="39"/>
      <c r="B805" s="48"/>
      <c r="C805" s="300"/>
      <c r="D805" s="308"/>
      <c r="E805" s="170">
        <f>SUM(E807:E812)</f>
        <v>4.896999999999999</v>
      </c>
      <c r="H805" s="1"/>
    </row>
    <row r="806" spans="1:18" ht="15" customHeight="1">
      <c r="A806" s="40" t="s">
        <v>5</v>
      </c>
      <c r="B806" s="325" t="s">
        <v>17</v>
      </c>
      <c r="C806" s="331"/>
      <c r="D806" s="299" t="s">
        <v>18</v>
      </c>
      <c r="E806" s="39" t="s">
        <v>7</v>
      </c>
      <c r="G806" s="93" t="str">
        <f>CONCATENATE("Cable Scrap, Lying at ",B807,". Quantity in MT - ")</f>
        <v>Cable Scrap, Lying at OL Ropar. Quantity in MT - </v>
      </c>
      <c r="H806" s="324" t="str">
        <f ca="1">CONCATENATE(G806,G807,(INDIRECT(I807)),(INDIRECT(J807)),(INDIRECT(K807)),(INDIRECT(L807)),(INDIRECT(M807)),(INDIRECT(N807)),(INDIRECT(O807)),(INDIRECT(P807)),(INDIRECT(Q807)),(INDIRECT(R807)))</f>
        <v>Cable Scrap, Lying at OL Ropar. Quantity in MT - 2/core PVC Alumn. Cable scrap - 0.815, 4/core PVC Alumn. Cable scrap - 0.924, 3/ core XLPE Alu cable scrap - 2.231, 1/core PVC Alumn. Cable scrap - 0.109, Alu.  seals scrap with lash wire - 0.068, 1/ core XLPE Alu cable scrap - 0.75, </v>
      </c>
      <c r="I806" s="98" t="str">
        <f aca="true" ca="1" t="array" ref="I806">CELL("address",INDEX(G806:G827,MATCH(TRUE,ISBLANK(G806:G827),0)))</f>
        <v>$G$813</v>
      </c>
      <c r="J806" s="98">
        <f aca="true" t="array" ref="J806">MATCH(TRUE,ISBLANK(G806:G827),0)</f>
        <v>8</v>
      </c>
      <c r="K806" s="98">
        <f>J806-3</f>
        <v>5</v>
      </c>
      <c r="L806" s="98"/>
      <c r="M806" s="98"/>
      <c r="N806" s="98"/>
      <c r="O806" s="98"/>
      <c r="P806" s="98"/>
      <c r="Q806" s="98"/>
      <c r="R806" s="98"/>
    </row>
    <row r="807" spans="1:18" ht="15" customHeight="1">
      <c r="A807" s="321" t="s">
        <v>169</v>
      </c>
      <c r="B807" s="321" t="s">
        <v>98</v>
      </c>
      <c r="C807" s="321"/>
      <c r="D807" s="34" t="s">
        <v>90</v>
      </c>
      <c r="E807" s="155">
        <v>0.815</v>
      </c>
      <c r="F807" s="98">
        <v>0.788</v>
      </c>
      <c r="G807" s="92" t="str">
        <f aca="true" t="shared" si="2" ref="G807:G812">CONCATENATE(D807," - ",E807,", ")</f>
        <v>2/core PVC Alumn. Cable scrap - 0.815, </v>
      </c>
      <c r="H807" s="324"/>
      <c r="I807" s="98" t="str">
        <f ca="1">IF(J806&gt;=3,(MID(I806,2,1)&amp;MID(I806,4,4)-K806),CELL("address",Z807))</f>
        <v>G808</v>
      </c>
      <c r="J807" s="98" t="str">
        <f ca="1">IF(J806&gt;=4,(MID(I807,1,1)&amp;MID(I807,2,4)+1),CELL("address",AA807))</f>
        <v>G809</v>
      </c>
      <c r="K807" s="98" t="str">
        <f ca="1">IF(J806&gt;=5,(MID(J807,1,1)&amp;MID(J807,2,4)+1),CELL("address",AB807))</f>
        <v>G810</v>
      </c>
      <c r="L807" s="98" t="str">
        <f ca="1">IF(J806&gt;=6,(MID(K807,1,1)&amp;MID(K807,2,4)+1),CELL("address",AC807))</f>
        <v>G811</v>
      </c>
      <c r="M807" s="98" t="str">
        <f ca="1">IF(J806&gt;=7,(MID(L807,1,1)&amp;MID(L807,2,4)+1),CELL("address",AD807))</f>
        <v>G812</v>
      </c>
      <c r="N807" s="98" t="str">
        <f ca="1">IF(J806&gt;=8,(MID(M807,1,1)&amp;MID(M807,2,4)+1),CELL("address",AE807))</f>
        <v>G813</v>
      </c>
      <c r="O807" s="98" t="str">
        <f ca="1">IF(J806&gt;=9,(MID(N807,1,1)&amp;MID(N807,2,4)+1),CELL("address",AF807))</f>
        <v>$AF$807</v>
      </c>
      <c r="P807" s="98" t="str">
        <f ca="1">IF(J806&gt;=10,(MID(O807,1,1)&amp;MID(O807,2,4)+1),CELL("address",AG807))</f>
        <v>$AG$807</v>
      </c>
      <c r="Q807" s="98" t="str">
        <f ca="1">IF(J806&gt;=11,(MID(P807,1,1)&amp;MID(P807,2,4)+1),CELL("address",AH807))</f>
        <v>$AH$807</v>
      </c>
      <c r="R807" s="98" t="str">
        <f ca="1">IF(J806&gt;=12,(MID(Q807,1,1)&amp;MID(Q807,2,4)+1),CELL("address",AI807))</f>
        <v>$AI$807</v>
      </c>
    </row>
    <row r="808" spans="1:15" ht="15" customHeight="1">
      <c r="A808" s="321"/>
      <c r="B808" s="321"/>
      <c r="C808" s="321"/>
      <c r="D808" s="34" t="s">
        <v>91</v>
      </c>
      <c r="E808" s="155">
        <v>0.924</v>
      </c>
      <c r="F808" s="98">
        <v>0.812</v>
      </c>
      <c r="G808" s="92" t="str">
        <f t="shared" si="2"/>
        <v>4/core PVC Alumn. Cable scrap - 0.924, </v>
      </c>
      <c r="H808" s="98"/>
      <c r="I808" s="98"/>
      <c r="J808" s="98"/>
      <c r="K808" s="98"/>
      <c r="L808" s="98"/>
      <c r="M808" s="98"/>
      <c r="N808" s="98"/>
      <c r="O808" s="98"/>
    </row>
    <row r="809" spans="1:15" ht="15" customHeight="1">
      <c r="A809" s="321"/>
      <c r="B809" s="321"/>
      <c r="C809" s="321"/>
      <c r="D809" s="45" t="s">
        <v>92</v>
      </c>
      <c r="E809" s="119">
        <v>2.231</v>
      </c>
      <c r="G809" s="92" t="str">
        <f t="shared" si="2"/>
        <v>3/ core XLPE Alu cable scrap - 2.231, </v>
      </c>
      <c r="H809" s="98"/>
      <c r="I809" s="98"/>
      <c r="J809" s="98"/>
      <c r="K809" s="98"/>
      <c r="L809" s="98"/>
      <c r="M809" s="98"/>
      <c r="N809" s="98"/>
      <c r="O809" s="98"/>
    </row>
    <row r="810" spans="1:8" ht="15" customHeight="1">
      <c r="A810" s="321"/>
      <c r="B810" s="321"/>
      <c r="C810" s="321"/>
      <c r="D810" s="34" t="s">
        <v>171</v>
      </c>
      <c r="E810" s="155">
        <v>0.109</v>
      </c>
      <c r="F810" s="1">
        <v>0.087</v>
      </c>
      <c r="G810" s="92" t="str">
        <f t="shared" si="2"/>
        <v>1/core PVC Alumn. Cable scrap - 0.109, </v>
      </c>
      <c r="H810" s="1"/>
    </row>
    <row r="811" spans="1:8" ht="15" customHeight="1">
      <c r="A811" s="321"/>
      <c r="B811" s="321"/>
      <c r="C811" s="321"/>
      <c r="D811" s="34" t="s">
        <v>314</v>
      </c>
      <c r="E811" s="155">
        <v>0.068</v>
      </c>
      <c r="F811" s="1">
        <v>0.066</v>
      </c>
      <c r="G811" s="92" t="str">
        <f t="shared" si="2"/>
        <v>Alu.  seals scrap with lash wire - 0.068, </v>
      </c>
      <c r="H811" s="1"/>
    </row>
    <row r="812" spans="1:8" ht="15" customHeight="1">
      <c r="A812" s="321"/>
      <c r="B812" s="321"/>
      <c r="C812" s="321"/>
      <c r="D812" s="45" t="s">
        <v>97</v>
      </c>
      <c r="E812" s="119">
        <v>0.75</v>
      </c>
      <c r="G812" s="92" t="str">
        <f t="shared" si="2"/>
        <v>1/ core XLPE Alu cable scrap - 0.75, </v>
      </c>
      <c r="H812" s="1"/>
    </row>
    <row r="813" spans="1:8" ht="15" customHeight="1">
      <c r="A813" s="39"/>
      <c r="B813" s="41"/>
      <c r="C813" s="42"/>
      <c r="D813" s="34"/>
      <c r="E813" s="155"/>
      <c r="H813" s="1"/>
    </row>
    <row r="814" spans="1:8" ht="15" customHeight="1">
      <c r="A814" s="39"/>
      <c r="B814" s="48"/>
      <c r="C814" s="300"/>
      <c r="D814" s="308"/>
      <c r="E814" s="170">
        <f>SUM(E816:E818)</f>
        <v>8.915</v>
      </c>
      <c r="F814" s="98"/>
      <c r="H814" s="1"/>
    </row>
    <row r="815" spans="1:18" ht="15" customHeight="1">
      <c r="A815" s="40" t="s">
        <v>5</v>
      </c>
      <c r="B815" s="325" t="s">
        <v>17</v>
      </c>
      <c r="C815" s="331"/>
      <c r="D815" s="299" t="s">
        <v>18</v>
      </c>
      <c r="E815" s="39" t="s">
        <v>7</v>
      </c>
      <c r="F815" s="98"/>
      <c r="G815" s="93" t="str">
        <f>CONCATENATE("Cable Scrap, Lying at ",B816,". Quantity in MT - ")</f>
        <v>Cable Scrap, Lying at CS Malout. Quantity in MT - </v>
      </c>
      <c r="H815" s="324" t="str">
        <f ca="1">CONCATENATE(G815,G816,(INDIRECT(I816)),(INDIRECT(J816)),(INDIRECT(K816)),(INDIRECT(L816)),(INDIRECT(M816)),(INDIRECT(N816)),(INDIRECT(O816)),(INDIRECT(P816)),(INDIRECT(Q816)),(INDIRECT(R816)))</f>
        <v>Cable Scrap, Lying at CS Malout. Quantity in MT - 2/core PVC Alumn. Cable scrap - 1.64, 4/core PVC Alumn. Cable scrap - 2.256, 3/ core XLPE Alu cable scrap - 5.019, </v>
      </c>
      <c r="I815" s="98" t="str">
        <f aca="true" ca="1" t="array" ref="I815">CELL("address",INDEX(G815:G836,MATCH(TRUE,ISBLANK(G815:G836),0)))</f>
        <v>$G$819</v>
      </c>
      <c r="J815" s="98">
        <f aca="true" t="array" ref="J815">MATCH(TRUE,ISBLANK(G815:G836),0)</f>
        <v>5</v>
      </c>
      <c r="K815" s="98">
        <f>J815-3</f>
        <v>2</v>
      </c>
      <c r="L815" s="98"/>
      <c r="M815" s="98"/>
      <c r="N815" s="98"/>
      <c r="O815" s="98"/>
      <c r="P815" s="98"/>
      <c r="Q815" s="98"/>
      <c r="R815" s="98"/>
    </row>
    <row r="816" spans="1:18" ht="15" customHeight="1">
      <c r="A816" s="321" t="s">
        <v>170</v>
      </c>
      <c r="B816" s="321" t="s">
        <v>95</v>
      </c>
      <c r="C816" s="321"/>
      <c r="D816" s="34" t="s">
        <v>90</v>
      </c>
      <c r="E816" s="155">
        <v>1.64</v>
      </c>
      <c r="F816" s="1">
        <v>1.4</v>
      </c>
      <c r="G816" s="92" t="str">
        <f>CONCATENATE(D816," - ",E816,", ")</f>
        <v>2/core PVC Alumn. Cable scrap - 1.64, </v>
      </c>
      <c r="H816" s="324"/>
      <c r="I816" s="98" t="str">
        <f ca="1">IF(J815&gt;=3,(MID(I815,2,1)&amp;MID(I815,4,4)-K815),CELL("address",Z816))</f>
        <v>G817</v>
      </c>
      <c r="J816" s="98" t="str">
        <f ca="1">IF(J815&gt;=4,(MID(I816,1,1)&amp;MID(I816,2,4)+1),CELL("address",AA816))</f>
        <v>G818</v>
      </c>
      <c r="K816" s="98" t="str">
        <f ca="1">IF(J815&gt;=5,(MID(J816,1,1)&amp;MID(J816,2,4)+1),CELL("address",AB816))</f>
        <v>G819</v>
      </c>
      <c r="L816" s="98" t="str">
        <f ca="1">IF(J815&gt;=6,(MID(K816,1,1)&amp;MID(K816,2,4)+1),CELL("address",AC816))</f>
        <v>$AC$816</v>
      </c>
      <c r="M816" s="98" t="str">
        <f ca="1">IF(J815&gt;=7,(MID(L816,1,1)&amp;MID(L816,2,4)+1),CELL("address",AD816))</f>
        <v>$AD$816</v>
      </c>
      <c r="N816" s="98" t="str">
        <f ca="1">IF(J815&gt;=8,(MID(M816,1,1)&amp;MID(M816,2,4)+1),CELL("address",AE816))</f>
        <v>$AE$816</v>
      </c>
      <c r="O816" s="98" t="str">
        <f ca="1">IF(J815&gt;=9,(MID(N816,1,1)&amp;MID(N816,2,4)+1),CELL("address",AF816))</f>
        <v>$AF$816</v>
      </c>
      <c r="P816" s="98" t="str">
        <f ca="1">IF(J815&gt;=10,(MID(O816,1,1)&amp;MID(O816,2,4)+1),CELL("address",AG816))</f>
        <v>$AG$816</v>
      </c>
      <c r="Q816" s="98" t="str">
        <f ca="1">IF(J815&gt;=11,(MID(P816,1,1)&amp;MID(P816,2,4)+1),CELL("address",AH816))</f>
        <v>$AH$816</v>
      </c>
      <c r="R816" s="98" t="str">
        <f ca="1">IF(J815&gt;=12,(MID(Q816,1,1)&amp;MID(Q816,2,4)+1),CELL("address",AI816))</f>
        <v>$AI$816</v>
      </c>
    </row>
    <row r="817" spans="1:15" ht="15" customHeight="1">
      <c r="A817" s="321"/>
      <c r="B817" s="321"/>
      <c r="C817" s="321"/>
      <c r="D817" s="34" t="s">
        <v>91</v>
      </c>
      <c r="E817" s="155">
        <v>2.256</v>
      </c>
      <c r="F817" s="1">
        <v>1.941</v>
      </c>
      <c r="G817" s="92" t="str">
        <f>CONCATENATE(D817," - ",E817,", ")</f>
        <v>4/core PVC Alumn. Cable scrap - 2.256, </v>
      </c>
      <c r="H817" s="1"/>
      <c r="I817" s="98"/>
      <c r="J817" s="98"/>
      <c r="K817" s="98"/>
      <c r="L817" s="98"/>
      <c r="M817" s="98"/>
      <c r="N817" s="98"/>
      <c r="O817" s="98"/>
    </row>
    <row r="818" spans="1:8" ht="15" customHeight="1">
      <c r="A818" s="321"/>
      <c r="B818" s="321"/>
      <c r="C818" s="321"/>
      <c r="D818" s="34" t="s">
        <v>92</v>
      </c>
      <c r="E818" s="155">
        <v>5.019</v>
      </c>
      <c r="F818" s="1">
        <v>4.718</v>
      </c>
      <c r="G818" s="92" t="str">
        <f>CONCATENATE(D818," - ",E818,", ")</f>
        <v>3/ core XLPE Alu cable scrap - 5.019, </v>
      </c>
      <c r="H818" s="1"/>
    </row>
    <row r="819" spans="1:8" ht="15" customHeight="1">
      <c r="A819" s="39"/>
      <c r="B819" s="41"/>
      <c r="C819" s="42"/>
      <c r="D819" s="45"/>
      <c r="E819" s="119"/>
      <c r="H819" s="1"/>
    </row>
    <row r="820" spans="1:8" ht="15" customHeight="1">
      <c r="A820" s="39"/>
      <c r="B820" s="48"/>
      <c r="C820" s="300"/>
      <c r="D820" s="308"/>
      <c r="E820" s="170">
        <f>SUM(E822:E825)</f>
        <v>5.237</v>
      </c>
      <c r="H820" s="1"/>
    </row>
    <row r="821" spans="1:18" ht="15" customHeight="1">
      <c r="A821" s="40" t="s">
        <v>5</v>
      </c>
      <c r="B821" s="325" t="s">
        <v>17</v>
      </c>
      <c r="C821" s="331"/>
      <c r="D821" s="299" t="s">
        <v>18</v>
      </c>
      <c r="E821" s="39" t="s">
        <v>7</v>
      </c>
      <c r="F821" s="98"/>
      <c r="G821" s="93" t="str">
        <f>CONCATENATE("Cable Scrap, Lying at ",B822,". Quantity in MT - ")</f>
        <v>Cable Scrap, Lying at OL Nabha. Quantity in MT - </v>
      </c>
      <c r="H821" s="324" t="str">
        <f ca="1">CONCATENATE(G821,G822,(INDIRECT(I822)),(INDIRECT(J822)),(INDIRECT(K822)),(INDIRECT(L822)),(INDIRECT(M822)),(INDIRECT(N822)),(INDIRECT(O822)),(INDIRECT(P822)),(INDIRECT(Q822)),(INDIRECT(R822)))</f>
        <v>Cable Scrap, Lying at OL Nabha. Quantity in MT - 2/core PVC Alumn. Cable scrap - 2.362, 4/core PVC Alumn. Cable scrap - 1.342, 3/ core XLPE Alu cable scrap - 1.493, ABC cable scrap (70/95 mm) - 0.04, </v>
      </c>
      <c r="I821" s="98" t="str">
        <f aca="true" ca="1" t="array" ref="I821">CELL("address",INDEX(G821:G842,MATCH(TRUE,ISBLANK(G821:G842),0)))</f>
        <v>$G$826</v>
      </c>
      <c r="J821" s="98">
        <f aca="true" t="array" ref="J821">MATCH(TRUE,ISBLANK(G821:G842),0)</f>
        <v>6</v>
      </c>
      <c r="K821" s="98">
        <f>J821-3</f>
        <v>3</v>
      </c>
      <c r="L821" s="98"/>
      <c r="M821" s="98"/>
      <c r="N821" s="98"/>
      <c r="O821" s="98"/>
      <c r="P821" s="98"/>
      <c r="Q821" s="98"/>
      <c r="R821" s="98"/>
    </row>
    <row r="822" spans="1:18" ht="15" customHeight="1">
      <c r="A822" s="321" t="s">
        <v>172</v>
      </c>
      <c r="B822" s="321" t="s">
        <v>104</v>
      </c>
      <c r="C822" s="321"/>
      <c r="D822" s="34" t="s">
        <v>90</v>
      </c>
      <c r="E822" s="155">
        <v>2.362</v>
      </c>
      <c r="F822" s="98">
        <v>1.202</v>
      </c>
      <c r="G822" s="92" t="str">
        <f>CONCATENATE(D822," - ",E822,", ")</f>
        <v>2/core PVC Alumn. Cable scrap - 2.362, </v>
      </c>
      <c r="H822" s="324"/>
      <c r="I822" s="98" t="str">
        <f ca="1">IF(J821&gt;=3,(MID(I821,2,1)&amp;MID(I821,4,4)-K821),CELL("address",Z822))</f>
        <v>G823</v>
      </c>
      <c r="J822" s="98" t="str">
        <f ca="1">IF(J821&gt;=4,(MID(I822,1,1)&amp;MID(I822,2,4)+1),CELL("address",AA822))</f>
        <v>G824</v>
      </c>
      <c r="K822" s="98" t="str">
        <f ca="1">IF(J821&gt;=5,(MID(J822,1,1)&amp;MID(J822,2,4)+1),CELL("address",AB822))</f>
        <v>G825</v>
      </c>
      <c r="L822" s="98" t="str">
        <f ca="1">IF(J821&gt;=6,(MID(K822,1,1)&amp;MID(K822,2,4)+1),CELL("address",AC822))</f>
        <v>G826</v>
      </c>
      <c r="M822" s="98" t="str">
        <f ca="1">IF(J821&gt;=7,(MID(L822,1,1)&amp;MID(L822,2,4)+1),CELL("address",AD822))</f>
        <v>$AD$822</v>
      </c>
      <c r="N822" s="98" t="str">
        <f ca="1">IF(J821&gt;=8,(MID(M822,1,1)&amp;MID(M822,2,4)+1),CELL("address",AE822))</f>
        <v>$AE$822</v>
      </c>
      <c r="O822" s="98" t="str">
        <f ca="1">IF(J821&gt;=9,(MID(N822,1,1)&amp;MID(N822,2,4)+1),CELL("address",AF822))</f>
        <v>$AF$822</v>
      </c>
      <c r="P822" s="98" t="str">
        <f ca="1">IF(J821&gt;=10,(MID(O822,1,1)&amp;MID(O822,2,4)+1),CELL("address",AG822))</f>
        <v>$AG$822</v>
      </c>
      <c r="Q822" s="98" t="str">
        <f ca="1">IF(J821&gt;=11,(MID(P822,1,1)&amp;MID(P822,2,4)+1),CELL("address",AH822))</f>
        <v>$AH$822</v>
      </c>
      <c r="R822" s="98" t="str">
        <f ca="1">IF(J821&gt;=12,(MID(Q822,1,1)&amp;MID(Q822,2,4)+1),CELL("address",AI822))</f>
        <v>$AI$822</v>
      </c>
    </row>
    <row r="823" spans="1:15" ht="15" customHeight="1">
      <c r="A823" s="321"/>
      <c r="B823" s="321"/>
      <c r="C823" s="321"/>
      <c r="D823" s="34" t="s">
        <v>91</v>
      </c>
      <c r="E823" s="155">
        <v>1.342</v>
      </c>
      <c r="F823" s="1">
        <v>1.039</v>
      </c>
      <c r="G823" s="92" t="str">
        <f>CONCATENATE(D823," - ",E823,", ")</f>
        <v>4/core PVC Alumn. Cable scrap - 1.342, </v>
      </c>
      <c r="H823" s="98"/>
      <c r="I823" s="98"/>
      <c r="J823" s="98"/>
      <c r="K823" s="98"/>
      <c r="L823" s="98"/>
      <c r="M823" s="98"/>
      <c r="N823" s="98"/>
      <c r="O823" s="98"/>
    </row>
    <row r="824" spans="1:8" ht="15" customHeight="1">
      <c r="A824" s="321"/>
      <c r="B824" s="321"/>
      <c r="C824" s="321"/>
      <c r="D824" s="45" t="s">
        <v>92</v>
      </c>
      <c r="E824" s="119">
        <v>1.493</v>
      </c>
      <c r="G824" s="92" t="str">
        <f>CONCATENATE(D824," - ",E824,", ")</f>
        <v>3/ core XLPE Alu cable scrap - 1.493, </v>
      </c>
      <c r="H824" s="1"/>
    </row>
    <row r="825" spans="1:8" ht="15" customHeight="1">
      <c r="A825" s="321"/>
      <c r="B825" s="321"/>
      <c r="C825" s="321"/>
      <c r="D825" s="45" t="s">
        <v>168</v>
      </c>
      <c r="E825" s="119">
        <v>0.04</v>
      </c>
      <c r="G825" s="92" t="str">
        <f>CONCATENATE(D825," - ",E825,", ")</f>
        <v>ABC cable scrap (70/95 mm) - 0.04, </v>
      </c>
      <c r="H825" s="1"/>
    </row>
    <row r="826" spans="1:8" ht="15" customHeight="1">
      <c r="A826" s="39"/>
      <c r="B826" s="41"/>
      <c r="C826" s="42"/>
      <c r="D826" s="34"/>
      <c r="E826" s="155"/>
      <c r="H826" s="1"/>
    </row>
    <row r="827" spans="1:8" ht="15" customHeight="1">
      <c r="A827" s="39"/>
      <c r="B827" s="305"/>
      <c r="C827" s="306"/>
      <c r="D827" s="309"/>
      <c r="E827" s="167">
        <f>SUM(E829:E833)</f>
        <v>20.663</v>
      </c>
      <c r="H827" s="1"/>
    </row>
    <row r="828" spans="1:18" ht="15" customHeight="1">
      <c r="A828" s="40" t="s">
        <v>5</v>
      </c>
      <c r="B828" s="325" t="s">
        <v>17</v>
      </c>
      <c r="C828" s="331"/>
      <c r="D828" s="299" t="s">
        <v>18</v>
      </c>
      <c r="E828" s="39" t="s">
        <v>7</v>
      </c>
      <c r="G828" s="93" t="str">
        <f>CONCATENATE("Cable Scrap, Lying at ",B829,". Quantity in MT - ")</f>
        <v>Cable Scrap, Lying at CS Patiala. Quantity in MT - </v>
      </c>
      <c r="H828" s="324" t="str">
        <f ca="1">CONCATENATE(G828,G829,(INDIRECT(I829)),(INDIRECT(J829)),(INDIRECT(K829)),(INDIRECT(L829)),(INDIRECT(M829)),(INDIRECT(N829)),(INDIRECT(O829)),(INDIRECT(P829)),(INDIRECT(Q829)),(INDIRECT(R829)))</f>
        <v>Cable Scrap, Lying at CS Patiala. Quantity in MT - 1/core PVC Alumn. Cable scrap - 0.629, 2/core PVC Alumn. Cable scrap - 2.262, 4/core PVC Alumn. Cable scrap - 5.391, 3/ core XLPE Alu cable scrap - 6.293, ABC cable scrap (150 mm) - 6.088, </v>
      </c>
      <c r="I828" s="98" t="str">
        <f aca="true" ca="1" t="array" ref="I828">CELL("address",INDEX(G828:G849,MATCH(TRUE,ISBLANK(G828:G849),0)))</f>
        <v>$G$834</v>
      </c>
      <c r="J828" s="98">
        <f aca="true" t="array" ref="J828">MATCH(TRUE,ISBLANK(G828:G849),0)</f>
        <v>7</v>
      </c>
      <c r="K828" s="98">
        <f>J828-3</f>
        <v>4</v>
      </c>
      <c r="L828" s="98"/>
      <c r="M828" s="98"/>
      <c r="N828" s="98"/>
      <c r="O828" s="98"/>
      <c r="P828" s="98"/>
      <c r="Q828" s="98"/>
      <c r="R828" s="98"/>
    </row>
    <row r="829" spans="1:18" ht="15" customHeight="1">
      <c r="A829" s="321" t="s">
        <v>173</v>
      </c>
      <c r="B829" s="321" t="s">
        <v>52</v>
      </c>
      <c r="C829" s="321"/>
      <c r="D829" s="34" t="s">
        <v>171</v>
      </c>
      <c r="E829" s="309">
        <v>0.629</v>
      </c>
      <c r="F829" s="98">
        <v>0.547</v>
      </c>
      <c r="G829" s="92" t="str">
        <f>CONCATENATE(D829," - ",E829,", ")</f>
        <v>1/core PVC Alumn. Cable scrap - 0.629, </v>
      </c>
      <c r="H829" s="324"/>
      <c r="I829" s="98" t="str">
        <f ca="1">IF(J828&gt;=3,(MID(I828,2,1)&amp;MID(I828,4,4)-K828),CELL("address",Z829))</f>
        <v>G830</v>
      </c>
      <c r="J829" s="98" t="str">
        <f ca="1">IF(J828&gt;=4,(MID(I829,1,1)&amp;MID(I829,2,4)+1),CELL("address",AA829))</f>
        <v>G831</v>
      </c>
      <c r="K829" s="98" t="str">
        <f ca="1">IF(J828&gt;=5,(MID(J829,1,1)&amp;MID(J829,2,4)+1),CELL("address",AB829))</f>
        <v>G832</v>
      </c>
      <c r="L829" s="98" t="str">
        <f ca="1">IF(J828&gt;=6,(MID(K829,1,1)&amp;MID(K829,2,4)+1),CELL("address",AC829))</f>
        <v>G833</v>
      </c>
      <c r="M829" s="98" t="str">
        <f ca="1">IF(J828&gt;=7,(MID(L829,1,1)&amp;MID(L829,2,4)+1),CELL("address",AD829))</f>
        <v>G834</v>
      </c>
      <c r="N829" s="98" t="str">
        <f ca="1">IF(J828&gt;=8,(MID(M829,1,1)&amp;MID(M829,2,4)+1),CELL("address",AE829))</f>
        <v>$AE$829</v>
      </c>
      <c r="O829" s="98" t="str">
        <f ca="1">IF(J828&gt;=9,(MID(N829,1,1)&amp;MID(N829,2,4)+1),CELL("address",AF829))</f>
        <v>$AF$829</v>
      </c>
      <c r="P829" s="98" t="str">
        <f ca="1">IF(J828&gt;=10,(MID(O829,1,1)&amp;MID(O829,2,4)+1),CELL("address",AG829))</f>
        <v>$AG$829</v>
      </c>
      <c r="Q829" s="98" t="str">
        <f ca="1">IF(J828&gt;=11,(MID(P829,1,1)&amp;MID(P829,2,4)+1),CELL("address",AH829))</f>
        <v>$AH$829</v>
      </c>
      <c r="R829" s="98" t="str">
        <f ca="1">IF(J828&gt;=12,(MID(Q829,1,1)&amp;MID(Q829,2,4)+1),CELL("address",AI829))</f>
        <v>$AI$829</v>
      </c>
    </row>
    <row r="830" spans="1:15" ht="15" customHeight="1">
      <c r="A830" s="321"/>
      <c r="B830" s="321"/>
      <c r="C830" s="321"/>
      <c r="D830" s="34" t="s">
        <v>90</v>
      </c>
      <c r="E830" s="304">
        <v>2.262</v>
      </c>
      <c r="F830" s="98">
        <v>2.096</v>
      </c>
      <c r="G830" s="92" t="str">
        <f>CONCATENATE(D830," - ",E830,", ")</f>
        <v>2/core PVC Alumn. Cable scrap - 2.262, </v>
      </c>
      <c r="H830" s="98"/>
      <c r="I830" s="98"/>
      <c r="J830" s="98"/>
      <c r="K830" s="98"/>
      <c r="L830" s="98"/>
      <c r="M830" s="98"/>
      <c r="N830" s="98"/>
      <c r="O830" s="98"/>
    </row>
    <row r="831" spans="1:15" ht="15" customHeight="1">
      <c r="A831" s="321"/>
      <c r="B831" s="321"/>
      <c r="C831" s="321"/>
      <c r="D831" s="34" t="s">
        <v>91</v>
      </c>
      <c r="E831" s="304">
        <v>5.391</v>
      </c>
      <c r="F831" s="1">
        <v>4.355</v>
      </c>
      <c r="G831" s="92" t="str">
        <f>CONCATENATE(D831," - ",E831,", ")</f>
        <v>4/core PVC Alumn. Cable scrap - 5.391, </v>
      </c>
      <c r="H831" s="98"/>
      <c r="I831" s="98"/>
      <c r="J831" s="98"/>
      <c r="K831" s="98"/>
      <c r="L831" s="98"/>
      <c r="M831" s="98"/>
      <c r="N831" s="98"/>
      <c r="O831" s="98"/>
    </row>
    <row r="832" spans="1:8" ht="15" customHeight="1">
      <c r="A832" s="321"/>
      <c r="B832" s="321"/>
      <c r="C832" s="321"/>
      <c r="D832" s="34" t="s">
        <v>92</v>
      </c>
      <c r="E832" s="115">
        <v>6.293</v>
      </c>
      <c r="F832" s="1">
        <v>3.2</v>
      </c>
      <c r="G832" s="92" t="str">
        <f>CONCATENATE(D832," - ",E832,", ")</f>
        <v>3/ core XLPE Alu cable scrap - 6.293, </v>
      </c>
      <c r="H832" s="1"/>
    </row>
    <row r="833" spans="1:8" ht="15" customHeight="1">
      <c r="A833" s="321"/>
      <c r="B833" s="321"/>
      <c r="C833" s="321"/>
      <c r="D833" s="34" t="s">
        <v>245</v>
      </c>
      <c r="E833" s="115">
        <v>6.088</v>
      </c>
      <c r="F833" s="1">
        <v>5.402</v>
      </c>
      <c r="G833" s="92" t="str">
        <f>CONCATENATE(D833," - ",E833,", ")</f>
        <v>ABC cable scrap (150 mm) - 6.088, </v>
      </c>
      <c r="H833" s="1"/>
    </row>
    <row r="834" spans="1:8" ht="15" customHeight="1">
      <c r="A834" s="39"/>
      <c r="B834" s="41"/>
      <c r="C834" s="42"/>
      <c r="D834" s="34"/>
      <c r="E834" s="155"/>
      <c r="H834" s="1"/>
    </row>
    <row r="835" spans="1:8" ht="15" customHeight="1">
      <c r="A835" s="35"/>
      <c r="E835" s="134">
        <f>SUM(E837:E840)</f>
        <v>8.235</v>
      </c>
      <c r="H835" s="1"/>
    </row>
    <row r="836" spans="1:18" ht="15" customHeight="1">
      <c r="A836" s="40" t="s">
        <v>5</v>
      </c>
      <c r="B836" s="325" t="s">
        <v>17</v>
      </c>
      <c r="C836" s="331"/>
      <c r="D836" s="299" t="s">
        <v>18</v>
      </c>
      <c r="E836" s="39" t="s">
        <v>7</v>
      </c>
      <c r="F836" s="98"/>
      <c r="G836" s="93" t="str">
        <f>CONCATENATE("Cable Scrap, Lying at ",B837,". Quantity in MT - ")</f>
        <v>Cable Scrap, Lying at OL Rajpura. Quantity in MT - </v>
      </c>
      <c r="H836" s="324" t="str">
        <f ca="1">CONCATENATE(G836,G837,(INDIRECT(I837)),(INDIRECT(J837)),(INDIRECT(K837)),(INDIRECT(L837)),(INDIRECT(M837)),(INDIRECT(N837)),(INDIRECT(O837)),(INDIRECT(P837)),(INDIRECT(Q837)),(INDIRECT(R837)))</f>
        <v>Cable Scrap, Lying at OL Rajpura. Quantity in MT - 2/core PVC Alumn. Cable scrap - 1.04, 4/core PVC Alumn. Cable scrap - 0.889, 3/ core XLPE Alu cable scrap - 0.837, ABC cable scrap (70/95 mm) - 5.469, </v>
      </c>
      <c r="I836" s="98" t="str">
        <f aca="true" ca="1" t="array" ref="I836">CELL("address",INDEX(G836:G857,MATCH(TRUE,ISBLANK(G836:G857),0)))</f>
        <v>$G$841</v>
      </c>
      <c r="J836" s="98">
        <f aca="true" t="array" ref="J836">MATCH(TRUE,ISBLANK(G836:G857),0)</f>
        <v>6</v>
      </c>
      <c r="K836" s="98">
        <f>J836-3</f>
        <v>3</v>
      </c>
      <c r="L836" s="98"/>
      <c r="M836" s="98"/>
      <c r="N836" s="98"/>
      <c r="O836" s="98"/>
      <c r="P836" s="98"/>
      <c r="Q836" s="98"/>
      <c r="R836" s="98"/>
    </row>
    <row r="837" spans="1:18" ht="15" customHeight="1">
      <c r="A837" s="321" t="s">
        <v>174</v>
      </c>
      <c r="B837" s="321" t="s">
        <v>103</v>
      </c>
      <c r="C837" s="321"/>
      <c r="D837" s="34" t="s">
        <v>90</v>
      </c>
      <c r="E837" s="309">
        <v>1.04</v>
      </c>
      <c r="F837" s="98">
        <v>0.78</v>
      </c>
      <c r="G837" s="92" t="str">
        <f>CONCATENATE(D837," - ",E837,", ")</f>
        <v>2/core PVC Alumn. Cable scrap - 1.04, </v>
      </c>
      <c r="H837" s="324"/>
      <c r="I837" s="98" t="str">
        <f ca="1">IF(J836&gt;=3,(MID(I836,2,1)&amp;MID(I836,4,4)-K836),CELL("address",Z837))</f>
        <v>G838</v>
      </c>
      <c r="J837" s="98" t="str">
        <f ca="1">IF(J836&gt;=4,(MID(I837,1,1)&amp;MID(I837,2,4)+1),CELL("address",AA837))</f>
        <v>G839</v>
      </c>
      <c r="K837" s="98" t="str">
        <f ca="1">IF(J836&gt;=5,(MID(J837,1,1)&amp;MID(J837,2,4)+1),CELL("address",AB837))</f>
        <v>G840</v>
      </c>
      <c r="L837" s="98" t="str">
        <f ca="1">IF(J836&gt;=6,(MID(K837,1,1)&amp;MID(K837,2,4)+1),CELL("address",AC837))</f>
        <v>G841</v>
      </c>
      <c r="M837" s="98" t="str">
        <f ca="1">IF(J836&gt;=7,(MID(L837,1,1)&amp;MID(L837,2,4)+1),CELL("address",AD837))</f>
        <v>$AD$837</v>
      </c>
      <c r="N837" s="98" t="str">
        <f ca="1">IF(J836&gt;=8,(MID(M837,1,1)&amp;MID(M837,2,4)+1),CELL("address",AE837))</f>
        <v>$AE$837</v>
      </c>
      <c r="O837" s="98" t="str">
        <f ca="1">IF(J836&gt;=9,(MID(N837,1,1)&amp;MID(N837,2,4)+1),CELL("address",AF837))</f>
        <v>$AF$837</v>
      </c>
      <c r="P837" s="98" t="str">
        <f ca="1">IF(J836&gt;=10,(MID(O837,1,1)&amp;MID(O837,2,4)+1),CELL("address",AG837))</f>
        <v>$AG$837</v>
      </c>
      <c r="Q837" s="98" t="str">
        <f ca="1">IF(J836&gt;=11,(MID(P837,1,1)&amp;MID(P837,2,4)+1),CELL("address",AH837))</f>
        <v>$AH$837</v>
      </c>
      <c r="R837" s="98" t="str">
        <f ca="1">IF(J836&gt;=12,(MID(Q837,1,1)&amp;MID(Q837,2,4)+1),CELL("address",AI837))</f>
        <v>$AI$837</v>
      </c>
    </row>
    <row r="838" spans="1:15" ht="15" customHeight="1">
      <c r="A838" s="321"/>
      <c r="B838" s="321"/>
      <c r="C838" s="321"/>
      <c r="D838" s="34" t="s">
        <v>91</v>
      </c>
      <c r="E838" s="304">
        <v>0.889</v>
      </c>
      <c r="F838" s="1">
        <v>0.609</v>
      </c>
      <c r="G838" s="92" t="str">
        <f>CONCATENATE(D838," - ",E838,", ")</f>
        <v>4/core PVC Alumn. Cable scrap - 0.889, </v>
      </c>
      <c r="H838" s="98"/>
      <c r="I838" s="98"/>
      <c r="J838" s="98"/>
      <c r="K838" s="98"/>
      <c r="L838" s="98"/>
      <c r="M838" s="98"/>
      <c r="N838" s="98"/>
      <c r="O838" s="98"/>
    </row>
    <row r="839" spans="1:8" ht="15" customHeight="1">
      <c r="A839" s="321"/>
      <c r="B839" s="321"/>
      <c r="C839" s="321"/>
      <c r="D839" s="45" t="s">
        <v>92</v>
      </c>
      <c r="E839" s="69">
        <v>0.837</v>
      </c>
      <c r="G839" s="92" t="str">
        <f>CONCATENATE(D839," - ",E839,", ")</f>
        <v>3/ core XLPE Alu cable scrap - 0.837, </v>
      </c>
      <c r="H839" s="1"/>
    </row>
    <row r="840" spans="1:8" ht="15" customHeight="1">
      <c r="A840" s="321"/>
      <c r="B840" s="321"/>
      <c r="C840" s="321"/>
      <c r="D840" s="34" t="s">
        <v>168</v>
      </c>
      <c r="E840" s="155">
        <v>5.469</v>
      </c>
      <c r="F840" s="1">
        <v>0.559</v>
      </c>
      <c r="G840" s="92" t="str">
        <f>CONCATENATE(D840," - ",E840,", ")</f>
        <v>ABC cable scrap (70/95 mm) - 5.469, </v>
      </c>
      <c r="H840" s="1"/>
    </row>
    <row r="841" spans="1:8" ht="15" customHeight="1">
      <c r="A841" s="39"/>
      <c r="B841" s="41"/>
      <c r="C841" s="42"/>
      <c r="D841" s="45"/>
      <c r="E841" s="119"/>
      <c r="H841" s="1"/>
    </row>
    <row r="842" spans="1:8" ht="15" customHeight="1">
      <c r="A842" s="39"/>
      <c r="B842" s="305"/>
      <c r="C842" s="306"/>
      <c r="D842" s="309"/>
      <c r="E842" s="167">
        <f>SUM(E844:E847)</f>
        <v>5.86</v>
      </c>
      <c r="H842" s="1"/>
    </row>
    <row r="843" spans="1:18" ht="15" customHeight="1">
      <c r="A843" s="40" t="s">
        <v>5</v>
      </c>
      <c r="B843" s="325" t="s">
        <v>17</v>
      </c>
      <c r="C843" s="331"/>
      <c r="D843" s="299" t="s">
        <v>18</v>
      </c>
      <c r="E843" s="39" t="s">
        <v>7</v>
      </c>
      <c r="F843" s="98"/>
      <c r="G843" s="93" t="str">
        <f>CONCATENATE("Cable Scrap, Lying at ",B844,". Quantity in MT - ")</f>
        <v>Cable Scrap, Lying at OL Barnala. Quantity in MT - </v>
      </c>
      <c r="H843" s="324" t="str">
        <f ca="1">CONCATENATE(G843,G844,(INDIRECT(I844)),(INDIRECT(J844)),(INDIRECT(K844)),(INDIRECT(L844)),(INDIRECT(M844)),(INDIRECT(N844)),(INDIRECT(O844)),(INDIRECT(P844)),(INDIRECT(Q844)),(INDIRECT(R844)))</f>
        <v>Cable Scrap, Lying at OL Barnala. Quantity in MT - 2/core PVC Alumn. Cable scrap - 0.714, 4/core PVC Alumn. Cable scrap - 1.69, 3/ core XLPE Alu cable scrap - 3.386, 1/ core XLPE Alu cable scrap - 0.07, </v>
      </c>
      <c r="I843" s="98" t="str">
        <f aca="true" ca="1" t="array" ref="I843">CELL("address",INDEX(G843:G864,MATCH(TRUE,ISBLANK(G843:G864),0)))</f>
        <v>$G$848</v>
      </c>
      <c r="J843" s="98">
        <f aca="true" t="array" ref="J843">MATCH(TRUE,ISBLANK(G843:G864),0)</f>
        <v>6</v>
      </c>
      <c r="K843" s="98">
        <f>J843-3</f>
        <v>3</v>
      </c>
      <c r="L843" s="98"/>
      <c r="M843" s="98"/>
      <c r="N843" s="98"/>
      <c r="O843" s="98"/>
      <c r="P843" s="98"/>
      <c r="Q843" s="98"/>
      <c r="R843" s="98"/>
    </row>
    <row r="844" spans="1:18" ht="15" customHeight="1">
      <c r="A844" s="321" t="s">
        <v>242</v>
      </c>
      <c r="B844" s="321" t="s">
        <v>190</v>
      </c>
      <c r="C844" s="321"/>
      <c r="D844" s="45" t="s">
        <v>90</v>
      </c>
      <c r="E844" s="69">
        <v>0.714</v>
      </c>
      <c r="F844" s="98"/>
      <c r="G844" s="92" t="str">
        <f>CONCATENATE(D844," - ",E844,", ")</f>
        <v>2/core PVC Alumn. Cable scrap - 0.714, </v>
      </c>
      <c r="H844" s="324"/>
      <c r="I844" s="98" t="str">
        <f ca="1">IF(J843&gt;=3,(MID(I843,2,1)&amp;MID(I843,4,4)-K843),CELL("address",Z844))</f>
        <v>G845</v>
      </c>
      <c r="J844" s="98" t="str">
        <f ca="1">IF(J843&gt;=4,(MID(I844,1,1)&amp;MID(I844,2,4)+1),CELL("address",AA844))</f>
        <v>G846</v>
      </c>
      <c r="K844" s="98" t="str">
        <f ca="1">IF(J843&gt;=5,(MID(J844,1,1)&amp;MID(J844,2,4)+1),CELL("address",AB844))</f>
        <v>G847</v>
      </c>
      <c r="L844" s="98" t="str">
        <f ca="1">IF(J843&gt;=6,(MID(K844,1,1)&amp;MID(K844,2,4)+1),CELL("address",AC844))</f>
        <v>G848</v>
      </c>
      <c r="M844" s="98" t="str">
        <f ca="1">IF(J843&gt;=7,(MID(L844,1,1)&amp;MID(L844,2,4)+1),CELL("address",AD844))</f>
        <v>$AD$844</v>
      </c>
      <c r="N844" s="98" t="str">
        <f ca="1">IF(J843&gt;=8,(MID(M844,1,1)&amp;MID(M844,2,4)+1),CELL("address",AE844))</f>
        <v>$AE$844</v>
      </c>
      <c r="O844" s="98" t="str">
        <f ca="1">IF(J843&gt;=9,(MID(N844,1,1)&amp;MID(N844,2,4)+1),CELL("address",AF844))</f>
        <v>$AF$844</v>
      </c>
      <c r="P844" s="98" t="str">
        <f ca="1">IF(J843&gt;=10,(MID(O844,1,1)&amp;MID(O844,2,4)+1),CELL("address",AG844))</f>
        <v>$AG$844</v>
      </c>
      <c r="Q844" s="98" t="str">
        <f ca="1">IF(J843&gt;=11,(MID(P844,1,1)&amp;MID(P844,2,4)+1),CELL("address",AH844))</f>
        <v>$AH$844</v>
      </c>
      <c r="R844" s="98" t="str">
        <f ca="1">IF(J843&gt;=12,(MID(Q844,1,1)&amp;MID(Q844,2,4)+1),CELL("address",AI844))</f>
        <v>$AI$844</v>
      </c>
    </row>
    <row r="845" spans="1:15" ht="15" customHeight="1">
      <c r="A845" s="321"/>
      <c r="B845" s="321"/>
      <c r="C845" s="321"/>
      <c r="D845" s="45" t="s">
        <v>91</v>
      </c>
      <c r="E845" s="69">
        <v>1.69</v>
      </c>
      <c r="G845" s="92" t="str">
        <f>CONCATENATE(D845," - ",E845,", ")</f>
        <v>4/core PVC Alumn. Cable scrap - 1.69, </v>
      </c>
      <c r="H845" s="98"/>
      <c r="I845" s="98"/>
      <c r="J845" s="98"/>
      <c r="K845" s="98"/>
      <c r="L845" s="98"/>
      <c r="M845" s="98"/>
      <c r="N845" s="98"/>
      <c r="O845" s="98"/>
    </row>
    <row r="846" spans="1:8" ht="15" customHeight="1">
      <c r="A846" s="321"/>
      <c r="B846" s="321"/>
      <c r="C846" s="321"/>
      <c r="D846" s="45" t="s">
        <v>92</v>
      </c>
      <c r="E846" s="119">
        <v>3.386</v>
      </c>
      <c r="G846" s="92" t="str">
        <f>CONCATENATE(D846," - ",E846,", ")</f>
        <v>3/ core XLPE Alu cable scrap - 3.386, </v>
      </c>
      <c r="H846" s="1"/>
    </row>
    <row r="847" spans="1:8" ht="15" customHeight="1">
      <c r="A847" s="321"/>
      <c r="B847" s="321"/>
      <c r="C847" s="321"/>
      <c r="D847" s="45" t="s">
        <v>97</v>
      </c>
      <c r="E847" s="119">
        <v>0.07</v>
      </c>
      <c r="G847" s="92" t="str">
        <f>CONCATENATE(D847," - ",E847,", ")</f>
        <v>1/ core XLPE Alu cable scrap - 0.07, </v>
      </c>
      <c r="H847" s="1"/>
    </row>
    <row r="848" spans="1:8" ht="15" customHeight="1">
      <c r="A848" s="39"/>
      <c r="B848" s="114"/>
      <c r="C848" s="59"/>
      <c r="D848" s="115"/>
      <c r="E848" s="172"/>
      <c r="H848" s="1"/>
    </row>
    <row r="849" spans="1:8" ht="15" customHeight="1">
      <c r="A849" s="39"/>
      <c r="B849" s="305"/>
      <c r="C849" s="306"/>
      <c r="D849" s="309"/>
      <c r="E849" s="167">
        <f>SUM(E851:E856)</f>
        <v>7.022</v>
      </c>
      <c r="H849" s="1"/>
    </row>
    <row r="850" spans="1:18" ht="15" customHeight="1">
      <c r="A850" s="70" t="s">
        <v>5</v>
      </c>
      <c r="B850" s="322" t="s">
        <v>17</v>
      </c>
      <c r="C850" s="323"/>
      <c r="D850" s="299" t="s">
        <v>18</v>
      </c>
      <c r="E850" s="39" t="s">
        <v>7</v>
      </c>
      <c r="G850" s="93" t="str">
        <f>CONCATENATE("Cable Scrap, Lying at ",B851,". Quantity in MT - ")</f>
        <v>Cable Scrap, Lying at CS Sangrur. Quantity in MT - </v>
      </c>
      <c r="H850" s="324" t="str">
        <f ca="1">CONCATENATE(G850,G851,(INDIRECT(I851)),(INDIRECT(J851)),(INDIRECT(K851)),(INDIRECT(L851)),(INDIRECT(M851)),(INDIRECT(N851)),(INDIRECT(O851)),(INDIRECT(P851)),(INDIRECT(Q851)),(INDIRECT(R851)))</f>
        <v>Cable Scrap, Lying at CS Sangrur. Quantity in MT - 2/core PVC Alumn. Cable scrap - 0.517, 4/core PVC Alumn. Cable scrap - 0.929, 3/ core XLPE Alu cable scrap - 3.602, Lead seal scrap with lash wire - 0.061, ABC cable scrap (70/95 mm) - 1.825, 1/ core XLPE Alu cable scrap - 0.088, </v>
      </c>
      <c r="I850" s="98" t="str">
        <f aca="true" ca="1" t="array" ref="I850">CELL("address",INDEX(G850:G871,MATCH(TRUE,ISBLANK(G850:G871),0)))</f>
        <v>$G$857</v>
      </c>
      <c r="J850" s="98">
        <f aca="true" t="array" ref="J850">MATCH(TRUE,ISBLANK(G850:G871),0)</f>
        <v>8</v>
      </c>
      <c r="K850" s="98">
        <f>J850-3</f>
        <v>5</v>
      </c>
      <c r="L850" s="98"/>
      <c r="M850" s="98"/>
      <c r="N850" s="98"/>
      <c r="O850" s="98"/>
      <c r="P850" s="98"/>
      <c r="Q850" s="98"/>
      <c r="R850" s="98"/>
    </row>
    <row r="851" spans="1:18" ht="15" customHeight="1">
      <c r="A851" s="321" t="s">
        <v>211</v>
      </c>
      <c r="B851" s="321" t="s">
        <v>79</v>
      </c>
      <c r="C851" s="321"/>
      <c r="D851" s="81" t="s">
        <v>90</v>
      </c>
      <c r="E851" s="69">
        <v>0.517</v>
      </c>
      <c r="G851" s="92" t="str">
        <f aca="true" t="shared" si="3" ref="G851:G856">CONCATENATE(D851," - ",E851,", ")</f>
        <v>2/core PVC Alumn. Cable scrap - 0.517, </v>
      </c>
      <c r="H851" s="324"/>
      <c r="I851" s="98" t="str">
        <f ca="1">IF(J850&gt;=3,(MID(I850,2,1)&amp;MID(I850,4,4)-K850),CELL("address",Z851))</f>
        <v>G852</v>
      </c>
      <c r="J851" s="98" t="str">
        <f ca="1">IF(J850&gt;=4,(MID(I851,1,1)&amp;MID(I851,2,4)+1),CELL("address",AA851))</f>
        <v>G853</v>
      </c>
      <c r="K851" s="98" t="str">
        <f ca="1">IF(J850&gt;=5,(MID(J851,1,1)&amp;MID(J851,2,4)+1),CELL("address",AB851))</f>
        <v>G854</v>
      </c>
      <c r="L851" s="98" t="str">
        <f ca="1">IF(J850&gt;=6,(MID(K851,1,1)&amp;MID(K851,2,4)+1),CELL("address",AC851))</f>
        <v>G855</v>
      </c>
      <c r="M851" s="98" t="str">
        <f ca="1">IF(J850&gt;=7,(MID(L851,1,1)&amp;MID(L851,2,4)+1),CELL("address",AD851))</f>
        <v>G856</v>
      </c>
      <c r="N851" s="98" t="str">
        <f ca="1">IF(J850&gt;=8,(MID(M851,1,1)&amp;MID(M851,2,4)+1),CELL("address",AE851))</f>
        <v>G857</v>
      </c>
      <c r="O851" s="98" t="str">
        <f ca="1">IF(J850&gt;=9,(MID(N851,1,1)&amp;MID(N851,2,4)+1),CELL("address",AF851))</f>
        <v>$AF$851</v>
      </c>
      <c r="P851" s="98" t="str">
        <f ca="1">IF(J850&gt;=10,(MID(O851,1,1)&amp;MID(O851,2,4)+1),CELL("address",AG851))</f>
        <v>$AG$851</v>
      </c>
      <c r="Q851" s="98" t="str">
        <f ca="1">IF(J850&gt;=11,(MID(P851,1,1)&amp;MID(P851,2,4)+1),CELL("address",AH851))</f>
        <v>$AH$851</v>
      </c>
      <c r="R851" s="98" t="str">
        <f ca="1">IF(J850&gt;=12,(MID(Q851,1,1)&amp;MID(Q851,2,4)+1),CELL("address",AI851))</f>
        <v>$AI$851</v>
      </c>
    </row>
    <row r="852" spans="1:15" ht="15" customHeight="1">
      <c r="A852" s="321"/>
      <c r="B852" s="321"/>
      <c r="C852" s="321"/>
      <c r="D852" s="81" t="s">
        <v>91</v>
      </c>
      <c r="E852" s="69">
        <v>0.929</v>
      </c>
      <c r="F852" s="98"/>
      <c r="G852" s="92" t="str">
        <f t="shared" si="3"/>
        <v>4/core PVC Alumn. Cable scrap - 0.929, </v>
      </c>
      <c r="H852" s="1"/>
      <c r="I852" s="98"/>
      <c r="J852" s="98"/>
      <c r="K852" s="98"/>
      <c r="L852" s="98"/>
      <c r="M852" s="98"/>
      <c r="N852" s="98"/>
      <c r="O852" s="98"/>
    </row>
    <row r="853" spans="1:15" ht="15" customHeight="1">
      <c r="A853" s="321"/>
      <c r="B853" s="321"/>
      <c r="C853" s="321"/>
      <c r="D853" s="81" t="s">
        <v>92</v>
      </c>
      <c r="E853" s="69">
        <v>3.602</v>
      </c>
      <c r="F853" s="98"/>
      <c r="G853" s="92" t="str">
        <f t="shared" si="3"/>
        <v>3/ core XLPE Alu cable scrap - 3.602, </v>
      </c>
      <c r="H853" s="98"/>
      <c r="I853" s="98"/>
      <c r="J853" s="98"/>
      <c r="K853" s="98"/>
      <c r="L853" s="98"/>
      <c r="M853" s="98"/>
      <c r="N853" s="98"/>
      <c r="O853" s="98"/>
    </row>
    <row r="854" spans="1:15" ht="15" customHeight="1">
      <c r="A854" s="321"/>
      <c r="B854" s="321"/>
      <c r="C854" s="321"/>
      <c r="D854" s="81" t="s">
        <v>188</v>
      </c>
      <c r="E854" s="171">
        <v>0.061</v>
      </c>
      <c r="G854" s="92" t="str">
        <f t="shared" si="3"/>
        <v>Lead seal scrap with lash wire - 0.061, </v>
      </c>
      <c r="H854" s="98"/>
      <c r="I854" s="98"/>
      <c r="J854" s="98"/>
      <c r="K854" s="98"/>
      <c r="L854" s="98"/>
      <c r="M854" s="98"/>
      <c r="N854" s="98"/>
      <c r="O854" s="98"/>
    </row>
    <row r="855" spans="1:8" ht="15" customHeight="1">
      <c r="A855" s="321"/>
      <c r="B855" s="321"/>
      <c r="C855" s="321"/>
      <c r="D855" s="235" t="s">
        <v>168</v>
      </c>
      <c r="E855" s="119">
        <v>1.825</v>
      </c>
      <c r="G855" s="92" t="str">
        <f t="shared" si="3"/>
        <v>ABC cable scrap (70/95 mm) - 1.825, </v>
      </c>
      <c r="H855" s="1"/>
    </row>
    <row r="856" spans="1:8" ht="15" customHeight="1">
      <c r="A856" s="321"/>
      <c r="B856" s="321"/>
      <c r="C856" s="321"/>
      <c r="D856" s="81" t="s">
        <v>97</v>
      </c>
      <c r="E856" s="119">
        <v>0.088</v>
      </c>
      <c r="F856" s="120"/>
      <c r="G856" s="92" t="str">
        <f t="shared" si="3"/>
        <v>1/ core XLPE Alu cable scrap - 0.088, </v>
      </c>
      <c r="H856" s="1"/>
    </row>
    <row r="857" spans="1:8" ht="15" customHeight="1">
      <c r="A857" s="50"/>
      <c r="B857" s="114"/>
      <c r="C857" s="59"/>
      <c r="D857" s="71"/>
      <c r="E857" s="119"/>
      <c r="F857" s="120"/>
      <c r="H857" s="1"/>
    </row>
    <row r="858" spans="1:8" ht="15" customHeight="1">
      <c r="A858" s="39"/>
      <c r="B858" s="305"/>
      <c r="C858" s="306"/>
      <c r="D858" s="309" t="s">
        <v>252</v>
      </c>
      <c r="E858" s="167">
        <f>SUM(E860:E864)</f>
        <v>3.571</v>
      </c>
      <c r="H858" s="1"/>
    </row>
    <row r="859" spans="1:18" ht="15" customHeight="1">
      <c r="A859" s="40" t="s">
        <v>5</v>
      </c>
      <c r="B859" s="325" t="s">
        <v>17</v>
      </c>
      <c r="C859" s="331"/>
      <c r="D859" s="299" t="s">
        <v>18</v>
      </c>
      <c r="E859" s="39" t="s">
        <v>7</v>
      </c>
      <c r="F859" s="98"/>
      <c r="G859" s="93" t="str">
        <f>CONCATENATE("Cable Scrap, Lying at ",B860,". Quantity in MT - ")</f>
        <v>Cable Scrap, Lying at CS Mohali. Quantity in MT - </v>
      </c>
      <c r="H859" s="324" t="str">
        <f ca="1">CONCATENATE(G859,G860,(INDIRECT(I860)),(INDIRECT(J860)),(INDIRECT(K860)),(INDIRECT(L860)),(INDIRECT(M860)),(INDIRECT(N860)),(INDIRECT(O860)),(INDIRECT(P860)),(INDIRECT(Q860)),(INDIRECT(R860)))</f>
        <v>Cable Scrap, Lying at CS Mohali. Quantity in MT - 4/core PVC Alumn. Cable scrap - 1.528, 3/ core XLPE Alu cable scrap - 0.608, 1/core PVC Alumn. Cable scrap - 0.183, 2/core PVC Alumn. Cable scrap - 0.362, ABC Cable scrap without messenger wire 150 mm - 0.89, </v>
      </c>
      <c r="I859" s="98" t="str">
        <f aca="true" ca="1" t="array" ref="I859">CELL("address",INDEX(G859:G880,MATCH(TRUE,ISBLANK(G859:G880),0)))</f>
        <v>$G$865</v>
      </c>
      <c r="J859" s="98">
        <f aca="true" t="array" ref="J859">MATCH(TRUE,ISBLANK(G859:G880),0)</f>
        <v>7</v>
      </c>
      <c r="K859" s="98">
        <f>J859-3</f>
        <v>4</v>
      </c>
      <c r="L859" s="98"/>
      <c r="M859" s="98"/>
      <c r="N859" s="98"/>
      <c r="O859" s="98"/>
      <c r="P859" s="98"/>
      <c r="Q859" s="98"/>
      <c r="R859" s="98"/>
    </row>
    <row r="860" spans="1:18" ht="15" customHeight="1">
      <c r="A860" s="321" t="s">
        <v>250</v>
      </c>
      <c r="B860" s="321" t="s">
        <v>62</v>
      </c>
      <c r="C860" s="321"/>
      <c r="D860" s="45" t="s">
        <v>91</v>
      </c>
      <c r="E860" s="39">
        <v>1.528</v>
      </c>
      <c r="F860" s="98"/>
      <c r="G860" s="92" t="str">
        <f>CONCATENATE(D860," - ",E860,", ")</f>
        <v>4/core PVC Alumn. Cable scrap - 1.528, </v>
      </c>
      <c r="H860" s="324"/>
      <c r="I860" s="98" t="str">
        <f ca="1">IF(J859&gt;=3,(MID(I859,2,1)&amp;MID(I859,4,4)-K859),CELL("address",Z860))</f>
        <v>G861</v>
      </c>
      <c r="J860" s="98" t="str">
        <f ca="1">IF(J859&gt;=4,(MID(I860,1,1)&amp;MID(I860,2,4)+1),CELL("address",AA860))</f>
        <v>G862</v>
      </c>
      <c r="K860" s="98" t="str">
        <f ca="1">IF(J859&gt;=5,(MID(J860,1,1)&amp;MID(J860,2,4)+1),CELL("address",AB860))</f>
        <v>G863</v>
      </c>
      <c r="L860" s="98" t="str">
        <f ca="1">IF(J859&gt;=6,(MID(K860,1,1)&amp;MID(K860,2,4)+1),CELL("address",AC860))</f>
        <v>G864</v>
      </c>
      <c r="M860" s="98" t="str">
        <f ca="1">IF(J859&gt;=7,(MID(L860,1,1)&amp;MID(L860,2,4)+1),CELL("address",AD860))</f>
        <v>G865</v>
      </c>
      <c r="N860" s="98" t="str">
        <f ca="1">IF(J859&gt;=8,(MID(M860,1,1)&amp;MID(M860,2,4)+1),CELL("address",AE860))</f>
        <v>$AE$860</v>
      </c>
      <c r="O860" s="98" t="str">
        <f ca="1">IF(J859&gt;=9,(MID(N860,1,1)&amp;MID(N860,2,4)+1),CELL("address",AF860))</f>
        <v>$AF$860</v>
      </c>
      <c r="P860" s="98" t="str">
        <f ca="1">IF(J859&gt;=10,(MID(O860,1,1)&amp;MID(O860,2,4)+1),CELL("address",AG860))</f>
        <v>$AG$860</v>
      </c>
      <c r="Q860" s="98" t="str">
        <f ca="1">IF(J859&gt;=11,(MID(P860,1,1)&amp;MID(P860,2,4)+1),CELL("address",AH860))</f>
        <v>$AH$860</v>
      </c>
      <c r="R860" s="98" t="str">
        <f ca="1">IF(J859&gt;=12,(MID(Q860,1,1)&amp;MID(Q860,2,4)+1),CELL("address",AI860))</f>
        <v>$AI$860</v>
      </c>
    </row>
    <row r="861" spans="1:15" ht="15" customHeight="1">
      <c r="A861" s="321"/>
      <c r="B861" s="321"/>
      <c r="C861" s="321"/>
      <c r="D861" s="34" t="s">
        <v>92</v>
      </c>
      <c r="E861" s="304">
        <v>0.608</v>
      </c>
      <c r="F861" s="1">
        <v>0.533</v>
      </c>
      <c r="G861" s="92" t="str">
        <f>CONCATENATE(D861," - ",E861,", ")</f>
        <v>3/ core XLPE Alu cable scrap - 0.608, </v>
      </c>
      <c r="H861" s="98"/>
      <c r="I861" s="98"/>
      <c r="J861" s="98"/>
      <c r="K861" s="98"/>
      <c r="L861" s="98"/>
      <c r="M861" s="98"/>
      <c r="N861" s="98"/>
      <c r="O861" s="98"/>
    </row>
    <row r="862" spans="1:8" ht="15" customHeight="1">
      <c r="A862" s="321"/>
      <c r="B862" s="321"/>
      <c r="C862" s="321"/>
      <c r="D862" s="45" t="s">
        <v>171</v>
      </c>
      <c r="E862" s="69">
        <v>0.183</v>
      </c>
      <c r="G862" s="92" t="str">
        <f>CONCATENATE(D862," - ",E862,", ")</f>
        <v>1/core PVC Alumn. Cable scrap - 0.183, </v>
      </c>
      <c r="H862" s="1"/>
    </row>
    <row r="863" spans="1:8" ht="15" customHeight="1">
      <c r="A863" s="321"/>
      <c r="B863" s="321"/>
      <c r="C863" s="321"/>
      <c r="D863" s="34" t="s">
        <v>90</v>
      </c>
      <c r="E863" s="304">
        <v>0.362</v>
      </c>
      <c r="F863" s="1">
        <v>0.305</v>
      </c>
      <c r="G863" s="92" t="str">
        <f>CONCATENATE(D863," - ",E863,", ")</f>
        <v>2/core PVC Alumn. Cable scrap - 0.362, </v>
      </c>
      <c r="H863" s="1"/>
    </row>
    <row r="864" spans="1:8" ht="15" customHeight="1">
      <c r="A864" s="321"/>
      <c r="B864" s="321"/>
      <c r="C864" s="321"/>
      <c r="D864" s="286" t="s">
        <v>767</v>
      </c>
      <c r="E864" s="304">
        <v>0.89</v>
      </c>
      <c r="F864" s="1" t="s">
        <v>711</v>
      </c>
      <c r="G864" s="92" t="str">
        <f>CONCATENATE(D864," - ",E864,", ")</f>
        <v>ABC Cable scrap without messenger wire 150 mm - 0.89, </v>
      </c>
      <c r="H864" s="1"/>
    </row>
    <row r="865" spans="1:8" ht="15" customHeight="1">
      <c r="A865" s="51"/>
      <c r="B865" s="54"/>
      <c r="C865" s="97"/>
      <c r="D865" s="34"/>
      <c r="E865" s="304"/>
      <c r="H865" s="1"/>
    </row>
    <row r="866" spans="1:8" ht="15" customHeight="1">
      <c r="A866" s="40" t="s">
        <v>676</v>
      </c>
      <c r="B866" s="334"/>
      <c r="C866" s="335"/>
      <c r="D866" s="308"/>
      <c r="E866" s="57">
        <f>SUM(E868:E871)</f>
        <v>2.6900000000000004</v>
      </c>
      <c r="F866" s="98"/>
      <c r="H866" s="1"/>
    </row>
    <row r="867" spans="1:18" ht="15" customHeight="1">
      <c r="A867" s="40" t="s">
        <v>5</v>
      </c>
      <c r="B867" s="321" t="s">
        <v>17</v>
      </c>
      <c r="C867" s="321"/>
      <c r="D867" s="296" t="s">
        <v>18</v>
      </c>
      <c r="E867" s="39" t="s">
        <v>7</v>
      </c>
      <c r="F867" s="98"/>
      <c r="G867" s="93" t="str">
        <f>CONCATENATE("Cable Scrap, Lying at ",B868,". Quantity in MT - ")</f>
        <v>Cable Scrap, Lying at OL Fazilka. Quantity in MT - </v>
      </c>
      <c r="H867" s="324" t="str">
        <f ca="1">CONCATENATE(G867,G868,(INDIRECT(I868)),(INDIRECT(J868)),(INDIRECT(K868)),(INDIRECT(L868)),(INDIRECT(M868)),(INDIRECT(N868)),(INDIRECT(O868)),(INDIRECT(P868)),(INDIRECT(Q868)),(INDIRECT(R868)))</f>
        <v>Cable Scrap, Lying at OL Fazilka. Quantity in MT - 2/core PVC Alumn. Cable scrap - 0.27, 4/core PVC Alumn. Cable scrap - 1.231, 3/ core XLPE Alu cable scrap - 1.154, 1/ core XLPE Alu cable scrap - 0.035, </v>
      </c>
      <c r="I867" s="98" t="str">
        <f aca="true" ca="1" t="array" ref="I867">CELL("address",INDEX(G867:G888,MATCH(TRUE,ISBLANK(G867:G888),0)))</f>
        <v>$G$872</v>
      </c>
      <c r="J867" s="98">
        <f aca="true" t="array" ref="J867">MATCH(TRUE,ISBLANK(G867:G888),0)</f>
        <v>6</v>
      </c>
      <c r="K867" s="98">
        <f>J867-3</f>
        <v>3</v>
      </c>
      <c r="L867" s="98"/>
      <c r="M867" s="98"/>
      <c r="N867" s="98"/>
      <c r="O867" s="98"/>
      <c r="P867" s="98"/>
      <c r="Q867" s="98"/>
      <c r="R867" s="98"/>
    </row>
    <row r="868" spans="1:18" ht="15" customHeight="1">
      <c r="A868" s="321" t="s">
        <v>251</v>
      </c>
      <c r="B868" s="321" t="s">
        <v>112</v>
      </c>
      <c r="C868" s="321"/>
      <c r="D868" s="34" t="s">
        <v>90</v>
      </c>
      <c r="E868" s="304">
        <v>0.27</v>
      </c>
      <c r="F868" s="1">
        <v>0.198</v>
      </c>
      <c r="G868" s="92" t="str">
        <f>CONCATENATE(D868," - ",E868,", ")</f>
        <v>2/core PVC Alumn. Cable scrap - 0.27, </v>
      </c>
      <c r="H868" s="324"/>
      <c r="I868" s="98" t="str">
        <f ca="1">IF(J867&gt;=3,(MID(I867,2,1)&amp;MID(I867,4,4)-K867),CELL("address",Z868))</f>
        <v>G869</v>
      </c>
      <c r="J868" s="98" t="str">
        <f ca="1">IF(J867&gt;=4,(MID(I868,1,1)&amp;MID(I868,2,4)+1),CELL("address",AA868))</f>
        <v>G870</v>
      </c>
      <c r="K868" s="98" t="str">
        <f ca="1">IF(J867&gt;=5,(MID(J868,1,1)&amp;MID(J868,2,4)+1),CELL("address",AB868))</f>
        <v>G871</v>
      </c>
      <c r="L868" s="98" t="str">
        <f ca="1">IF(J867&gt;=6,(MID(K868,1,1)&amp;MID(K868,2,4)+1),CELL("address",AC868))</f>
        <v>G872</v>
      </c>
      <c r="M868" s="98" t="str">
        <f ca="1">IF(J867&gt;=7,(MID(L868,1,1)&amp;MID(L868,2,4)+1),CELL("address",AD868))</f>
        <v>$AD$868</v>
      </c>
      <c r="N868" s="98" t="str">
        <f ca="1">IF(J867&gt;=8,(MID(M868,1,1)&amp;MID(M868,2,4)+1),CELL("address",AE868))</f>
        <v>$AE$868</v>
      </c>
      <c r="O868" s="98" t="str">
        <f ca="1">IF(J867&gt;=9,(MID(N868,1,1)&amp;MID(N868,2,4)+1),CELL("address",AF868))</f>
        <v>$AF$868</v>
      </c>
      <c r="P868" s="98" t="str">
        <f ca="1">IF(J867&gt;=10,(MID(O868,1,1)&amp;MID(O868,2,4)+1),CELL("address",AG868))</f>
        <v>$AG$868</v>
      </c>
      <c r="Q868" s="98" t="str">
        <f ca="1">IF(J867&gt;=11,(MID(P868,1,1)&amp;MID(P868,2,4)+1),CELL("address",AH868))</f>
        <v>$AH$868</v>
      </c>
      <c r="R868" s="98" t="str">
        <f ca="1">IF(J867&gt;=12,(MID(Q868,1,1)&amp;MID(Q868,2,4)+1),CELL("address",AI868))</f>
        <v>$AI$868</v>
      </c>
    </row>
    <row r="869" spans="1:15" ht="15" customHeight="1">
      <c r="A869" s="321"/>
      <c r="B869" s="321"/>
      <c r="C869" s="321"/>
      <c r="D869" s="34" t="s">
        <v>91</v>
      </c>
      <c r="E869" s="304">
        <v>1.231</v>
      </c>
      <c r="F869" s="1">
        <v>0.914</v>
      </c>
      <c r="G869" s="92" t="str">
        <f>CONCATENATE(D869," - ",E869,", ")</f>
        <v>4/core PVC Alumn. Cable scrap - 1.231, </v>
      </c>
      <c r="H869" s="1"/>
      <c r="I869" s="98"/>
      <c r="J869" s="98"/>
      <c r="K869" s="98"/>
      <c r="L869" s="98"/>
      <c r="M869" s="98"/>
      <c r="N869" s="98"/>
      <c r="O869" s="98"/>
    </row>
    <row r="870" spans="1:8" ht="15" customHeight="1">
      <c r="A870" s="321"/>
      <c r="B870" s="321"/>
      <c r="C870" s="321"/>
      <c r="D870" s="81" t="s">
        <v>92</v>
      </c>
      <c r="E870" s="69">
        <v>1.154</v>
      </c>
      <c r="G870" s="92" t="str">
        <f>CONCATENATE(D870," - ",E870,", ")</f>
        <v>3/ core XLPE Alu cable scrap - 1.154, </v>
      </c>
      <c r="H870" s="1"/>
    </row>
    <row r="871" spans="1:8" ht="15" customHeight="1">
      <c r="A871" s="321"/>
      <c r="B871" s="321"/>
      <c r="C871" s="321"/>
      <c r="D871" s="269" t="s">
        <v>97</v>
      </c>
      <c r="E871" s="304">
        <v>0.035</v>
      </c>
      <c r="F871" s="1" t="s">
        <v>711</v>
      </c>
      <c r="G871" s="92" t="str">
        <f>CONCATENATE(D871," - ",E871,", ")</f>
        <v>1/ core XLPE Alu cable scrap - 0.035, </v>
      </c>
      <c r="H871" s="1"/>
    </row>
    <row r="872" spans="1:8" ht="15" customHeight="1">
      <c r="A872" s="39"/>
      <c r="B872" s="41"/>
      <c r="C872" s="42"/>
      <c r="D872" s="45"/>
      <c r="E872" s="69"/>
      <c r="H872" s="1"/>
    </row>
    <row r="873" spans="1:8" ht="15" customHeight="1">
      <c r="A873" s="50"/>
      <c r="B873" s="305"/>
      <c r="C873" s="306"/>
      <c r="D873" s="80"/>
      <c r="E873" s="173">
        <f>SUM(E875:E878)</f>
        <v>8.988999999999999</v>
      </c>
      <c r="H873" s="1"/>
    </row>
    <row r="874" spans="1:18" ht="15" customHeight="1">
      <c r="A874" s="40" t="s">
        <v>5</v>
      </c>
      <c r="B874" s="325" t="s">
        <v>17</v>
      </c>
      <c r="C874" s="331"/>
      <c r="D874" s="299" t="s">
        <v>18</v>
      </c>
      <c r="E874" s="39" t="s">
        <v>7</v>
      </c>
      <c r="F874" s="98"/>
      <c r="G874" s="93" t="str">
        <f>CONCATENATE("Cable Scrap, Lying at ",B875,". Quantity in MT - ")</f>
        <v>Cable Scrap, Lying at OL Malerkotla. Quantity in MT - </v>
      </c>
      <c r="H874" s="324" t="str">
        <f ca="1">CONCATENATE(G874,G875,(INDIRECT(I875)),(INDIRECT(J875)),(INDIRECT(K875)),(INDIRECT(L875)),(INDIRECT(M875)),(INDIRECT(N875)),(INDIRECT(O875)),(INDIRECT(P875)),(INDIRECT(Q875)),(INDIRECT(R875)))</f>
        <v>Cable Scrap, Lying at OL Malerkotla. Quantity in MT - 2/core PVC Alumn. Cable scrap - 0.984, 4/core PVC Alumn. Cable scrap - 1.234, 3/ core XLPE Alu cable scrap - 3.257, ABC cable scrap (70/95 mm) - 3.514, </v>
      </c>
      <c r="I874" s="98" t="str">
        <f aca="true" ca="1" t="array" ref="I874">CELL("address",INDEX(G874:G895,MATCH(TRUE,ISBLANK(G874:G895),0)))</f>
        <v>$G$879</v>
      </c>
      <c r="J874" s="98">
        <f aca="true" t="array" ref="J874">MATCH(TRUE,ISBLANK(G874:G895),0)</f>
        <v>6</v>
      </c>
      <c r="K874" s="98">
        <f>J874-3</f>
        <v>3</v>
      </c>
      <c r="L874" s="98"/>
      <c r="M874" s="98"/>
      <c r="N874" s="98"/>
      <c r="O874" s="98"/>
      <c r="P874" s="98"/>
      <c r="Q874" s="98"/>
      <c r="R874" s="98"/>
    </row>
    <row r="875" spans="1:18" ht="15" customHeight="1">
      <c r="A875" s="321" t="s">
        <v>263</v>
      </c>
      <c r="B875" s="321" t="s">
        <v>126</v>
      </c>
      <c r="C875" s="321"/>
      <c r="D875" s="45" t="s">
        <v>90</v>
      </c>
      <c r="E875" s="39">
        <v>0.984</v>
      </c>
      <c r="F875" s="98"/>
      <c r="G875" s="92" t="str">
        <f>CONCATENATE(D875," - ",E875,", ")</f>
        <v>2/core PVC Alumn. Cable scrap - 0.984, </v>
      </c>
      <c r="H875" s="324"/>
      <c r="I875" s="98" t="str">
        <f ca="1">IF(J874&gt;=3,(MID(I874,2,1)&amp;MID(I874,4,4)-K874),CELL("address",Z875))</f>
        <v>G876</v>
      </c>
      <c r="J875" s="98" t="str">
        <f ca="1">IF(J874&gt;=4,(MID(I875,1,1)&amp;MID(I875,2,4)+1),CELL("address",AA875))</f>
        <v>G877</v>
      </c>
      <c r="K875" s="98" t="str">
        <f ca="1">IF(J874&gt;=5,(MID(J875,1,1)&amp;MID(J875,2,4)+1),CELL("address",AB875))</f>
        <v>G878</v>
      </c>
      <c r="L875" s="98" t="str">
        <f ca="1">IF(J874&gt;=6,(MID(K875,1,1)&amp;MID(K875,2,4)+1),CELL("address",AC875))</f>
        <v>G879</v>
      </c>
      <c r="M875" s="98" t="str">
        <f ca="1">IF(J874&gt;=7,(MID(L875,1,1)&amp;MID(L875,2,4)+1),CELL("address",AD875))</f>
        <v>$AD$875</v>
      </c>
      <c r="N875" s="98" t="str">
        <f ca="1">IF(J874&gt;=8,(MID(M875,1,1)&amp;MID(M875,2,4)+1),CELL("address",AE875))</f>
        <v>$AE$875</v>
      </c>
      <c r="O875" s="98" t="str">
        <f ca="1">IF(J874&gt;=9,(MID(N875,1,1)&amp;MID(N875,2,4)+1),CELL("address",AF875))</f>
        <v>$AF$875</v>
      </c>
      <c r="P875" s="98" t="str">
        <f ca="1">IF(J874&gt;=10,(MID(O875,1,1)&amp;MID(O875,2,4)+1),CELL("address",AG875))</f>
        <v>$AG$875</v>
      </c>
      <c r="Q875" s="98" t="str">
        <f ca="1">IF(J874&gt;=11,(MID(P875,1,1)&amp;MID(P875,2,4)+1),CELL("address",AH875))</f>
        <v>$AH$875</v>
      </c>
      <c r="R875" s="98" t="str">
        <f ca="1">IF(J874&gt;=12,(MID(Q875,1,1)&amp;MID(Q875,2,4)+1),CELL("address",AI875))</f>
        <v>$AI$875</v>
      </c>
    </row>
    <row r="876" spans="1:15" ht="15" customHeight="1">
      <c r="A876" s="321"/>
      <c r="B876" s="321"/>
      <c r="C876" s="321"/>
      <c r="D876" s="45" t="s">
        <v>91</v>
      </c>
      <c r="E876" s="69">
        <v>1.234</v>
      </c>
      <c r="G876" s="92" t="str">
        <f>CONCATENATE(D876," - ",E876,", ")</f>
        <v>4/core PVC Alumn. Cable scrap - 1.234, </v>
      </c>
      <c r="H876" s="98"/>
      <c r="I876" s="98"/>
      <c r="J876" s="98"/>
      <c r="K876" s="98"/>
      <c r="L876" s="98"/>
      <c r="M876" s="98"/>
      <c r="N876" s="98"/>
      <c r="O876" s="98"/>
    </row>
    <row r="877" spans="1:8" ht="15" customHeight="1">
      <c r="A877" s="321"/>
      <c r="B877" s="321"/>
      <c r="C877" s="321"/>
      <c r="D877" s="45" t="s">
        <v>92</v>
      </c>
      <c r="E877" s="69">
        <v>3.257</v>
      </c>
      <c r="G877" s="92" t="str">
        <f>CONCATENATE(D877," - ",E877,", ")</f>
        <v>3/ core XLPE Alu cable scrap - 3.257, </v>
      </c>
      <c r="H877" s="1"/>
    </row>
    <row r="878" spans="1:8" ht="15" customHeight="1">
      <c r="A878" s="321"/>
      <c r="B878" s="321"/>
      <c r="C878" s="321"/>
      <c r="D878" s="71" t="s">
        <v>168</v>
      </c>
      <c r="E878" s="236">
        <v>3.514</v>
      </c>
      <c r="G878" s="92" t="str">
        <f>CONCATENATE(D878," - ",E878,", ")</f>
        <v>ABC cable scrap (70/95 mm) - 3.514, </v>
      </c>
      <c r="H878" s="1"/>
    </row>
    <row r="879" spans="1:8" ht="15" customHeight="1">
      <c r="A879" s="39"/>
      <c r="B879" s="41"/>
      <c r="C879" s="42"/>
      <c r="D879" s="76"/>
      <c r="E879" s="169"/>
      <c r="H879" s="1"/>
    </row>
    <row r="880" spans="1:8" ht="15" customHeight="1">
      <c r="A880" s="50"/>
      <c r="B880" s="305"/>
      <c r="C880" s="306"/>
      <c r="D880" s="80"/>
      <c r="E880" s="173">
        <f>SUM(E882:E885)</f>
        <v>5.707000000000001</v>
      </c>
      <c r="H880" s="1"/>
    </row>
    <row r="881" spans="1:18" ht="15" customHeight="1">
      <c r="A881" s="40" t="s">
        <v>5</v>
      </c>
      <c r="B881" s="325" t="s">
        <v>17</v>
      </c>
      <c r="C881" s="331"/>
      <c r="D881" s="299" t="s">
        <v>18</v>
      </c>
      <c r="E881" s="39" t="s">
        <v>7</v>
      </c>
      <c r="G881" s="93" t="str">
        <f>CONCATENATE("Cable Scrap, Lying at ",B882,". Quantity in MT - ")</f>
        <v>Cable Scrap, Lying at OL Moga. Quantity in MT - </v>
      </c>
      <c r="H881" s="324" t="str">
        <f ca="1">CONCATENATE(G881,G882,(INDIRECT(I882)),(INDIRECT(J882)),(INDIRECT(K882)),(INDIRECT(L882)),(INDIRECT(M882)),(INDIRECT(N882)),(INDIRECT(O882)),(INDIRECT(P882)),(INDIRECT(Q882)),(INDIRECT(R882)))</f>
        <v>Cable Scrap, Lying at OL Moga. Quantity in MT - 2/core PVC Alumn. Cable scrap - 1.318, 4/core PVC Alumn. Cable scrap - 2.185, 1/ core XLPE Alu cable scrap - 0.329, 3/ core XLPE Alu cable scrap - 1.875, </v>
      </c>
      <c r="I881" s="98" t="str">
        <f aca="true" ca="1" t="array" ref="I881">CELL("address",INDEX(G881:G902,MATCH(TRUE,ISBLANK(G881:G902),0)))</f>
        <v>$G$886</v>
      </c>
      <c r="J881" s="98">
        <f aca="true" t="array" ref="J881">MATCH(TRUE,ISBLANK(G881:G902),0)</f>
        <v>6</v>
      </c>
      <c r="K881" s="98">
        <f>J881-3</f>
        <v>3</v>
      </c>
      <c r="L881" s="98"/>
      <c r="M881" s="98"/>
      <c r="N881" s="98"/>
      <c r="O881" s="98"/>
      <c r="P881" s="98"/>
      <c r="Q881" s="98"/>
      <c r="R881" s="98"/>
    </row>
    <row r="882" spans="1:18" ht="15" customHeight="1">
      <c r="A882" s="321" t="s">
        <v>267</v>
      </c>
      <c r="B882" s="321" t="s">
        <v>268</v>
      </c>
      <c r="C882" s="321"/>
      <c r="D882" s="45" t="s">
        <v>90</v>
      </c>
      <c r="E882" s="39">
        <v>1.318</v>
      </c>
      <c r="F882" s="98"/>
      <c r="G882" s="92" t="str">
        <f>CONCATENATE(D882," - ",E882,", ")</f>
        <v>2/core PVC Alumn. Cable scrap - 1.318, </v>
      </c>
      <c r="H882" s="324"/>
      <c r="I882" s="98" t="str">
        <f ca="1">IF(J881&gt;=3,(MID(I881,2,1)&amp;MID(I881,4,4)-K881),CELL("address",Z882))</f>
        <v>G883</v>
      </c>
      <c r="J882" s="98" t="str">
        <f ca="1">IF(J881&gt;=4,(MID(I882,1,1)&amp;MID(I882,2,4)+1),CELL("address",AA882))</f>
        <v>G884</v>
      </c>
      <c r="K882" s="98" t="str">
        <f ca="1">IF(J881&gt;=5,(MID(J882,1,1)&amp;MID(J882,2,4)+1),CELL("address",AB882))</f>
        <v>G885</v>
      </c>
      <c r="L882" s="98" t="str">
        <f ca="1">IF(J881&gt;=6,(MID(K882,1,1)&amp;MID(K882,2,4)+1),CELL("address",AC882))</f>
        <v>G886</v>
      </c>
      <c r="M882" s="98" t="str">
        <f ca="1">IF(J881&gt;=7,(MID(L882,1,1)&amp;MID(L882,2,4)+1),CELL("address",AD882))</f>
        <v>$AD$882</v>
      </c>
      <c r="N882" s="98" t="str">
        <f ca="1">IF(J881&gt;=8,(MID(M882,1,1)&amp;MID(M882,2,4)+1),CELL("address",AE882))</f>
        <v>$AE$882</v>
      </c>
      <c r="O882" s="98" t="str">
        <f ca="1">IF(J881&gt;=9,(MID(N882,1,1)&amp;MID(N882,2,4)+1),CELL("address",AF882))</f>
        <v>$AF$882</v>
      </c>
      <c r="P882" s="98" t="str">
        <f ca="1">IF(J881&gt;=10,(MID(O882,1,1)&amp;MID(O882,2,4)+1),CELL("address",AG882))</f>
        <v>$AG$882</v>
      </c>
      <c r="Q882" s="98" t="str">
        <f ca="1">IF(J881&gt;=11,(MID(P882,1,1)&amp;MID(P882,2,4)+1),CELL("address",AH882))</f>
        <v>$AH$882</v>
      </c>
      <c r="R882" s="98" t="str">
        <f ca="1">IF(J881&gt;=12,(MID(Q882,1,1)&amp;MID(Q882,2,4)+1),CELL("address",AI882))</f>
        <v>$AI$882</v>
      </c>
    </row>
    <row r="883" spans="1:15" ht="15" customHeight="1">
      <c r="A883" s="321"/>
      <c r="B883" s="321"/>
      <c r="C883" s="321"/>
      <c r="D883" s="45" t="s">
        <v>91</v>
      </c>
      <c r="E883" s="69">
        <v>2.185</v>
      </c>
      <c r="F883" s="98"/>
      <c r="G883" s="92" t="str">
        <f>CONCATENATE(D883," - ",E883,", ")</f>
        <v>4/core PVC Alumn. Cable scrap - 2.185, </v>
      </c>
      <c r="H883" s="98"/>
      <c r="I883" s="98"/>
      <c r="J883" s="98"/>
      <c r="K883" s="98"/>
      <c r="L883" s="98"/>
      <c r="M883" s="98"/>
      <c r="N883" s="98"/>
      <c r="O883" s="98"/>
    </row>
    <row r="884" spans="1:15" ht="15" customHeight="1">
      <c r="A884" s="321"/>
      <c r="B884" s="321"/>
      <c r="C884" s="321"/>
      <c r="D884" s="45" t="s">
        <v>97</v>
      </c>
      <c r="E884" s="69">
        <v>0.329</v>
      </c>
      <c r="G884" s="92" t="str">
        <f>CONCATENATE(D884," - ",E884,", ")</f>
        <v>1/ core XLPE Alu cable scrap - 0.329, </v>
      </c>
      <c r="H884" s="98"/>
      <c r="I884" s="98"/>
      <c r="J884" s="98"/>
      <c r="K884" s="98"/>
      <c r="L884" s="98"/>
      <c r="M884" s="98"/>
      <c r="N884" s="98"/>
      <c r="O884" s="98"/>
    </row>
    <row r="885" spans="1:8" ht="15" customHeight="1">
      <c r="A885" s="321"/>
      <c r="B885" s="321"/>
      <c r="C885" s="321"/>
      <c r="D885" s="45" t="s">
        <v>92</v>
      </c>
      <c r="E885" s="236">
        <v>1.875</v>
      </c>
      <c r="G885" s="92" t="str">
        <f>CONCATENATE(D885," - ",E885,", ")</f>
        <v>3/ core XLPE Alu cable scrap - 1.875, </v>
      </c>
      <c r="H885" s="1"/>
    </row>
    <row r="886" spans="1:8" ht="15" customHeight="1">
      <c r="A886" s="39"/>
      <c r="B886" s="41"/>
      <c r="C886" s="42"/>
      <c r="D886" s="45"/>
      <c r="E886" s="236"/>
      <c r="G886" s="193"/>
      <c r="H886" s="1"/>
    </row>
    <row r="887" spans="1:8" ht="15" customHeight="1">
      <c r="A887" s="39"/>
      <c r="B887" s="48"/>
      <c r="C887" s="300"/>
      <c r="D887" s="308"/>
      <c r="E887" s="170">
        <f>SUM(E889:E889)</f>
        <v>0.419</v>
      </c>
      <c r="G887" s="193"/>
      <c r="H887" s="1"/>
    </row>
    <row r="888" spans="1:18" ht="15" customHeight="1">
      <c r="A888" s="40" t="s">
        <v>5</v>
      </c>
      <c r="B888" s="325" t="s">
        <v>17</v>
      </c>
      <c r="C888" s="331"/>
      <c r="D888" s="299" t="s">
        <v>18</v>
      </c>
      <c r="E888" s="39" t="s">
        <v>7</v>
      </c>
      <c r="G888" s="93" t="str">
        <f>CONCATENATE("Cable Scrap, Lying at ",B889,". Quantity in MT - ")</f>
        <v>Cable Scrap, Lying at S &amp; T Store Bathinda. Quantity in MT - </v>
      </c>
      <c r="H888" s="324" t="str">
        <f ca="1">CONCATENATE(G888,G889,(INDIRECT(I889)),(INDIRECT(J889)),(INDIRECT(K889)),(INDIRECT(L889)),(INDIRECT(M889)),(INDIRECT(N889)),(INDIRECT(O889)),(INDIRECT(P889)),(INDIRECT(Q889)),(INDIRECT(R889)))</f>
        <v>Cable Scrap, Lying at S &amp; T Store Bathinda. Quantity in MT - 3/ core XLPE Alu cable scrap - 0.419, </v>
      </c>
      <c r="I888" s="98" t="str">
        <f aca="true" ca="1" t="array" ref="I888">CELL("address",INDEX(G888:G909,MATCH(TRUE,ISBLANK(G888:G909),0)))</f>
        <v>$G$890</v>
      </c>
      <c r="J888" s="98">
        <f aca="true" t="array" ref="J888">MATCH(TRUE,ISBLANK(G888:G909),0)</f>
        <v>3</v>
      </c>
      <c r="K888" s="98">
        <f>J888-3</f>
        <v>0</v>
      </c>
      <c r="L888" s="98"/>
      <c r="M888" s="98"/>
      <c r="N888" s="98"/>
      <c r="O888" s="98"/>
      <c r="P888" s="98"/>
      <c r="Q888" s="98"/>
      <c r="R888" s="98"/>
    </row>
    <row r="889" spans="1:18" ht="15" customHeight="1">
      <c r="A889" s="40" t="s">
        <v>677</v>
      </c>
      <c r="B889" s="321" t="s">
        <v>57</v>
      </c>
      <c r="C889" s="321"/>
      <c r="D889" s="45" t="s">
        <v>92</v>
      </c>
      <c r="E889" s="119">
        <v>0.419</v>
      </c>
      <c r="G889" s="92" t="str">
        <f>CONCATENATE(D889," - ",E889,", ")</f>
        <v>3/ core XLPE Alu cable scrap - 0.419, </v>
      </c>
      <c r="H889" s="324"/>
      <c r="I889" s="98" t="str">
        <f ca="1">IF(J888&gt;=3,(MID(I888,2,1)&amp;MID(I888,4,4)-K888),CELL("address",Z889))</f>
        <v>G890</v>
      </c>
      <c r="J889" s="98" t="str">
        <f ca="1">IF(J888&gt;=4,(MID(I889,1,1)&amp;MID(I889,2,4)+1),CELL("address",AA889))</f>
        <v>$AA$889</v>
      </c>
      <c r="K889" s="98" t="str">
        <f ca="1">IF(J888&gt;=5,(MID(J889,1,1)&amp;MID(J889,2,4)+1),CELL("address",AB889))</f>
        <v>$AB$889</v>
      </c>
      <c r="L889" s="98" t="str">
        <f ca="1">IF(J888&gt;=6,(MID(K889,1,1)&amp;MID(K889,2,4)+1),CELL("address",AC889))</f>
        <v>$AC$889</v>
      </c>
      <c r="M889" s="98" t="str">
        <f ca="1">IF(J888&gt;=7,(MID(L889,1,1)&amp;MID(L889,2,4)+1),CELL("address",AD889))</f>
        <v>$AD$889</v>
      </c>
      <c r="N889" s="98" t="str">
        <f ca="1">IF(J888&gt;=8,(MID(M889,1,1)&amp;MID(M889,2,4)+1),CELL("address",AE889))</f>
        <v>$AE$889</v>
      </c>
      <c r="O889" s="98" t="str">
        <f ca="1">IF(J888&gt;=9,(MID(N889,1,1)&amp;MID(N889,2,4)+1),CELL("address",AF889))</f>
        <v>$AF$889</v>
      </c>
      <c r="P889" s="98" t="str">
        <f ca="1">IF(J888&gt;=10,(MID(O889,1,1)&amp;MID(O889,2,4)+1),CELL("address",AG889))</f>
        <v>$AG$889</v>
      </c>
      <c r="Q889" s="98" t="str">
        <f ca="1">IF(J888&gt;=11,(MID(P889,1,1)&amp;MID(P889,2,4)+1),CELL("address",AH889))</f>
        <v>$AH$889</v>
      </c>
      <c r="R889" s="98" t="str">
        <f ca="1">IF(J888&gt;=12,(MID(Q889,1,1)&amp;MID(Q889,2,4)+1),CELL("address",AI889))</f>
        <v>$AI$889</v>
      </c>
    </row>
    <row r="890" spans="1:15" ht="13.5" customHeight="1">
      <c r="A890" s="39"/>
      <c r="B890" s="41"/>
      <c r="C890" s="42"/>
      <c r="D890" s="45"/>
      <c r="E890" s="119"/>
      <c r="F890" s="120"/>
      <c r="H890" s="1"/>
      <c r="I890" s="98"/>
      <c r="J890" s="98"/>
      <c r="K890" s="98"/>
      <c r="L890" s="98"/>
      <c r="M890" s="98"/>
      <c r="N890" s="98"/>
      <c r="O890" s="98"/>
    </row>
    <row r="891" spans="1:8" ht="20.25" customHeight="1">
      <c r="A891" s="12" t="s">
        <v>13</v>
      </c>
      <c r="B891" s="13"/>
      <c r="C891" s="9"/>
      <c r="D891" s="34"/>
      <c r="E891" s="226"/>
      <c r="F891" s="187">
        <f>0.018+E892+E897+E906+E911+E919+E926+E930+E940+E947+E961+E969+E976+E984+E997+E1004+E1013+E1020+E1026+E1033+E1041+E1049+E1062+E1071+53.224</f>
        <v>548.9140000000002</v>
      </c>
      <c r="G891" s="98"/>
      <c r="H891" s="1"/>
    </row>
    <row r="892" spans="1:15" ht="15" customHeight="1">
      <c r="A892" s="53"/>
      <c r="B892" s="54"/>
      <c r="C892" s="55"/>
      <c r="D892" s="55"/>
      <c r="E892" s="159">
        <f>SUM(E894:E895)</f>
        <v>22.312</v>
      </c>
      <c r="F892" s="98"/>
      <c r="G892" s="253"/>
      <c r="H892" s="253"/>
      <c r="I892" s="98"/>
      <c r="J892" s="98"/>
      <c r="K892" s="98"/>
      <c r="L892" s="98"/>
      <c r="M892" s="98"/>
      <c r="N892" s="98"/>
      <c r="O892" s="98"/>
    </row>
    <row r="893" spans="1:18" ht="15" customHeight="1">
      <c r="A893" s="321" t="s">
        <v>5</v>
      </c>
      <c r="B893" s="321"/>
      <c r="C893" s="56" t="s">
        <v>17</v>
      </c>
      <c r="D893" s="296" t="s">
        <v>18</v>
      </c>
      <c r="E893" s="39" t="s">
        <v>7</v>
      </c>
      <c r="G893" s="93" t="str">
        <f>CONCATENATE("Misc. Iron Scrap, Lying at ",C894,". Quantity in MT - ")</f>
        <v>Misc. Iron Scrap, Lying at Pilot W/Shop Sri Muktsar Sahib. Quantity in MT - </v>
      </c>
      <c r="H893" s="324" t="str">
        <f ca="1">CONCATENATE(G893,G894,(INDIRECT(I894)),(INDIRECT(J894)),(INDIRECT(K894)),(INDIRECT(L894)),(INDIRECT(M894)),(INDIRECT(N894)),(INDIRECT(O894)),(INDIRECT(P894)),(INDIRECT(Q894)),(INDIRECT(R894)),".")</f>
        <v>Misc. Iron Scrap, Lying at Pilot W/Shop Sri Muktsar Sahib. Quantity in MT - MS iron scrap / GI scrap - 10.182, HT wire scrap off size - 12.13, .</v>
      </c>
      <c r="I893" s="98" t="str">
        <f aca="true" ca="1" t="array" ref="I893">CELL("address",INDEX(G893:G914,MATCH(TRUE,ISBLANK(G893:G914),0)))</f>
        <v>$G$896</v>
      </c>
      <c r="J893" s="98">
        <f aca="true" t="array" ref="J893">MATCH(TRUE,ISBLANK(G893:G914),0)</f>
        <v>4</v>
      </c>
      <c r="K893" s="98">
        <f>J893-3</f>
        <v>1</v>
      </c>
      <c r="L893" s="98"/>
      <c r="M893" s="98"/>
      <c r="N893" s="98"/>
      <c r="O893" s="98"/>
      <c r="P893" s="98"/>
      <c r="Q893" s="98"/>
      <c r="R893" s="98"/>
    </row>
    <row r="894" spans="1:18" ht="15" customHeight="1">
      <c r="A894" s="322" t="s">
        <v>21</v>
      </c>
      <c r="B894" s="402"/>
      <c r="C894" s="330" t="s">
        <v>19</v>
      </c>
      <c r="D894" s="40" t="s">
        <v>20</v>
      </c>
      <c r="E894" s="69">
        <v>10.182</v>
      </c>
      <c r="G894" s="92" t="str">
        <f>CONCATENATE(D894," - ",E894,", ")</f>
        <v>MS iron scrap / GI scrap - 10.182, </v>
      </c>
      <c r="H894" s="324"/>
      <c r="I894" s="98" t="str">
        <f ca="1">IF(J893&gt;=3,(MID(I893,2,1)&amp;MID(I893,4,4)-K893),CELL("address",Z894))</f>
        <v>G895</v>
      </c>
      <c r="J894" s="98" t="str">
        <f ca="1">IF(J893&gt;=4,(MID(I894,1,1)&amp;MID(I894,2,4)+1),CELL("address",AA894))</f>
        <v>G896</v>
      </c>
      <c r="K894" s="98" t="str">
        <f ca="1">IF(J893&gt;=5,(MID(J894,1,1)&amp;MID(J894,2,4)+1),CELL("address",AB894))</f>
        <v>$AB$894</v>
      </c>
      <c r="L894" s="98" t="str">
        <f ca="1">IF(J893&gt;=6,(MID(K894,1,1)&amp;MID(K894,2,4)+1),CELL("address",AC894))</f>
        <v>$AC$894</v>
      </c>
      <c r="M894" s="98" t="str">
        <f ca="1">IF(J893&gt;=7,(MID(L894,1,1)&amp;MID(L894,2,4)+1),CELL("address",AD894))</f>
        <v>$AD$894</v>
      </c>
      <c r="N894" s="98" t="str">
        <f ca="1">IF(J893&gt;=8,(MID(M894,1,1)&amp;MID(M894,2,4)+1),CELL("address",AE894))</f>
        <v>$AE$894</v>
      </c>
      <c r="O894" s="98" t="str">
        <f ca="1">IF(J893&gt;=9,(MID(N894,1,1)&amp;MID(N894,2,4)+1),CELL("address",AF894))</f>
        <v>$AF$894</v>
      </c>
      <c r="P894" s="98" t="str">
        <f ca="1">IF(J893&gt;=10,(MID(O894,1,1)&amp;MID(O894,2,4)+1),CELL("address",AG894))</f>
        <v>$AG$894</v>
      </c>
      <c r="Q894" s="98" t="str">
        <f ca="1">IF(J893&gt;=11,(MID(P894,1,1)&amp;MID(P894,2,4)+1),CELL("address",AH894))</f>
        <v>$AH$894</v>
      </c>
      <c r="R894" s="98" t="str">
        <f ca="1">IF(J893&gt;=12,(MID(Q894,1,1)&amp;MID(Q894,2,4)+1),CELL("address",AI894))</f>
        <v>$AI$894</v>
      </c>
    </row>
    <row r="895" spans="1:15" ht="15" customHeight="1">
      <c r="A895" s="371"/>
      <c r="B895" s="372"/>
      <c r="C895" s="401"/>
      <c r="D895" s="40" t="s">
        <v>71</v>
      </c>
      <c r="E895" s="69">
        <v>12.13</v>
      </c>
      <c r="G895" s="92" t="str">
        <f>CONCATENATE(D895," - ",E895,", ")</f>
        <v>HT wire scrap off size - 12.13, </v>
      </c>
      <c r="H895" s="1"/>
      <c r="I895" s="98"/>
      <c r="J895" s="98"/>
      <c r="K895" s="98"/>
      <c r="L895" s="98"/>
      <c r="M895" s="98"/>
      <c r="N895" s="98"/>
      <c r="O895" s="98"/>
    </row>
    <row r="896" spans="1:8" ht="15" customHeight="1">
      <c r="A896" s="39"/>
      <c r="B896" s="41"/>
      <c r="C896" s="48"/>
      <c r="D896" s="38"/>
      <c r="E896" s="295"/>
      <c r="F896" s="98"/>
      <c r="G896" s="92"/>
      <c r="H896" s="1"/>
    </row>
    <row r="897" spans="1:15" ht="15" customHeight="1">
      <c r="A897" s="53"/>
      <c r="B897" s="54"/>
      <c r="C897" s="55"/>
      <c r="D897" s="55"/>
      <c r="E897" s="159">
        <f>SUM(E899:E900)</f>
        <v>19.325</v>
      </c>
      <c r="F897" s="98"/>
      <c r="G897" s="98"/>
      <c r="H897" s="98"/>
      <c r="I897" s="98"/>
      <c r="J897" s="98"/>
      <c r="K897" s="98"/>
      <c r="L897" s="98"/>
      <c r="M897" s="98"/>
      <c r="N897" s="98"/>
      <c r="O897" s="98"/>
    </row>
    <row r="898" spans="1:18" ht="15" customHeight="1">
      <c r="A898" s="321" t="s">
        <v>5</v>
      </c>
      <c r="B898" s="321"/>
      <c r="C898" s="56" t="s">
        <v>17</v>
      </c>
      <c r="D898" s="296" t="s">
        <v>18</v>
      </c>
      <c r="E898" s="39" t="s">
        <v>7</v>
      </c>
      <c r="G898" s="93" t="str">
        <f>CONCATENATE("Misc. Iron Scrap, Lying at ",C899,". Quantity in MT - ")</f>
        <v>Misc. Iron Scrap, Lying at Pilot Workshop Mohali. Quantity in MT - </v>
      </c>
      <c r="H898" s="324" t="str">
        <f ca="1">CONCATENATE(G898,G899,(INDIRECT(I899)),(INDIRECT(J899)),(INDIRECT(K899)),(INDIRECT(L899)),(INDIRECT(M899)),(INDIRECT(N899)),(INDIRECT(O899)),(INDIRECT(P899)),(INDIRECT(Q899)),(INDIRECT(R899)),".")</f>
        <v>Misc. Iron Scrap, Lying at Pilot Workshop Mohali. Quantity in MT - HT Wire scrap &amp; other intermingled iron scrap - 14, MS iron scrap ( MS sections, scrapped T&amp;P etc) - 5.325, .</v>
      </c>
      <c r="I898" s="98" t="str">
        <f aca="true" ca="1" t="array" ref="I898">CELL("address",INDEX(G898:G919,MATCH(TRUE,ISBLANK(G898:G919),0)))</f>
        <v>$G$901</v>
      </c>
      <c r="J898" s="98">
        <f aca="true" t="array" ref="J898">MATCH(TRUE,ISBLANK(G898:G919),0)</f>
        <v>4</v>
      </c>
      <c r="K898" s="98">
        <f>J898-3</f>
        <v>1</v>
      </c>
      <c r="L898" s="98"/>
      <c r="M898" s="98"/>
      <c r="N898" s="98"/>
      <c r="O898" s="98"/>
      <c r="P898" s="98"/>
      <c r="Q898" s="98"/>
      <c r="R898" s="98"/>
    </row>
    <row r="899" spans="1:18" ht="15" customHeight="1">
      <c r="A899" s="321" t="s">
        <v>30</v>
      </c>
      <c r="B899" s="321"/>
      <c r="C899" s="330" t="s">
        <v>54</v>
      </c>
      <c r="D899" s="42" t="s">
        <v>55</v>
      </c>
      <c r="E899" s="69">
        <v>14</v>
      </c>
      <c r="G899" s="92" t="str">
        <f>CONCATENATE(D899," - ",E899,", ")</f>
        <v>HT Wire scrap &amp; other intermingled iron scrap - 14, </v>
      </c>
      <c r="H899" s="324"/>
      <c r="I899" s="98" t="str">
        <f ca="1">IF(J898&gt;=3,(MID(I898,2,1)&amp;MID(I898,4,4)-K898),CELL("address",Z899))</f>
        <v>G900</v>
      </c>
      <c r="J899" s="98" t="str">
        <f ca="1">IF(J898&gt;=4,(MID(I899,1,1)&amp;MID(I899,2,4)+1),CELL("address",AA899))</f>
        <v>G901</v>
      </c>
      <c r="K899" s="98" t="str">
        <f ca="1">IF(J898&gt;=5,(MID(J899,1,1)&amp;MID(J899,2,4)+1),CELL("address",AB899))</f>
        <v>$AB$899</v>
      </c>
      <c r="L899" s="98" t="str">
        <f ca="1">IF(J898&gt;=6,(MID(K899,1,1)&amp;MID(K899,2,4)+1),CELL("address",AC899))</f>
        <v>$AC$899</v>
      </c>
      <c r="M899" s="98" t="str">
        <f ca="1">IF(J898&gt;=7,(MID(L899,1,1)&amp;MID(L899,2,4)+1),CELL("address",AD899))</f>
        <v>$AD$899</v>
      </c>
      <c r="N899" s="98" t="str">
        <f ca="1">IF(J898&gt;=8,(MID(M899,1,1)&amp;MID(M899,2,4)+1),CELL("address",AE899))</f>
        <v>$AE$899</v>
      </c>
      <c r="O899" s="98" t="str">
        <f ca="1">IF(J898&gt;=9,(MID(N899,1,1)&amp;MID(N899,2,4)+1),CELL("address",AF899))</f>
        <v>$AF$899</v>
      </c>
      <c r="P899" s="98" t="str">
        <f ca="1">IF(J898&gt;=10,(MID(O899,1,1)&amp;MID(O899,2,4)+1),CELL("address",AG899))</f>
        <v>$AG$899</v>
      </c>
      <c r="Q899" s="98" t="str">
        <f ca="1">IF(J898&gt;=11,(MID(P899,1,1)&amp;MID(P899,2,4)+1),CELL("address",AH899))</f>
        <v>$AH$899</v>
      </c>
      <c r="R899" s="98" t="str">
        <f ca="1">IF(J898&gt;=12,(MID(Q899,1,1)&amp;MID(Q899,2,4)+1),CELL("address",AI899))</f>
        <v>$AI$899</v>
      </c>
    </row>
    <row r="900" spans="1:15" ht="15" customHeight="1">
      <c r="A900" s="321"/>
      <c r="B900" s="321"/>
      <c r="C900" s="330"/>
      <c r="D900" s="74" t="s">
        <v>56</v>
      </c>
      <c r="E900" s="69">
        <v>5.325</v>
      </c>
      <c r="F900" s="98"/>
      <c r="G900" s="92" t="str">
        <f>CONCATENATE(D900," - ",E900,", ")</f>
        <v>MS iron scrap ( MS sections, scrapped T&amp;P etc) - 5.325, </v>
      </c>
      <c r="H900" s="1"/>
      <c r="I900" s="98"/>
      <c r="J900" s="98"/>
      <c r="K900" s="98"/>
      <c r="L900" s="98"/>
      <c r="M900" s="98"/>
      <c r="N900" s="98"/>
      <c r="O900" s="98"/>
    </row>
    <row r="901" spans="1:15" ht="15" customHeight="1">
      <c r="A901" s="39"/>
      <c r="B901" s="41"/>
      <c r="C901" s="48"/>
      <c r="D901" s="38"/>
      <c r="E901" s="295"/>
      <c r="F901" s="98"/>
      <c r="G901" s="98"/>
      <c r="H901" s="98"/>
      <c r="I901" s="98"/>
      <c r="J901" s="98"/>
      <c r="K901" s="98"/>
      <c r="L901" s="98"/>
      <c r="M901" s="98"/>
      <c r="N901" s="98"/>
      <c r="O901" s="98"/>
    </row>
    <row r="902" spans="1:18" ht="15" customHeight="1">
      <c r="A902" s="53"/>
      <c r="B902" s="54"/>
      <c r="C902" s="54"/>
      <c r="D902" s="55"/>
      <c r="E902" s="156">
        <f>SUM(E904:E904)</f>
        <v>30414</v>
      </c>
      <c r="F902" s="120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</row>
    <row r="903" spans="1:18" ht="15" customHeight="1">
      <c r="A903" s="321" t="s">
        <v>5</v>
      </c>
      <c r="B903" s="321"/>
      <c r="C903" s="40" t="s">
        <v>17</v>
      </c>
      <c r="D903" s="296" t="s">
        <v>18</v>
      </c>
      <c r="E903" s="39" t="s">
        <v>69</v>
      </c>
      <c r="G903" s="93" t="str">
        <f>CONCATENATE("Misc. Iron Scrap, Lying at ",C904,". Quantity in No - ")</f>
        <v>Misc. Iron Scrap, Lying at S &amp; T Store Bathinda. Quantity in No - </v>
      </c>
      <c r="H903" s="324" t="str">
        <f ca="1">CONCATENATE(G903,G904,(INDIRECT(I904)),(INDIRECT(J904)),(INDIRECT(K904)),(INDIRECT(L904)),(INDIRECT(M904)),(INDIRECT(N904)),(INDIRECT(O904)),(INDIRECT(P904)),(INDIRECT(Q904)),(INDIRECT(R904)),".")</f>
        <v>Misc. Iron Scrap, Lying at S &amp; T Store Bathinda. Quantity in No - Disc Insulator Scrap - 30414, .</v>
      </c>
      <c r="I903" s="98" t="str">
        <f aca="true" ca="1" t="array" ref="I903">CELL("address",INDEX(G903:G924,MATCH(TRUE,ISBLANK(G903:G924),0)))</f>
        <v>$G$905</v>
      </c>
      <c r="J903" s="98">
        <f aca="true" t="array" ref="J903">MATCH(TRUE,ISBLANK(G903:G924),0)</f>
        <v>3</v>
      </c>
      <c r="K903" s="98">
        <f>J903-3</f>
        <v>0</v>
      </c>
      <c r="L903" s="98"/>
      <c r="M903" s="98"/>
      <c r="N903" s="98"/>
      <c r="O903" s="98"/>
      <c r="P903" s="98"/>
      <c r="Q903" s="98"/>
      <c r="R903" s="98"/>
    </row>
    <row r="904" spans="1:18" ht="15" customHeight="1">
      <c r="A904" s="322" t="s">
        <v>33</v>
      </c>
      <c r="B904" s="323"/>
      <c r="C904" s="297" t="s">
        <v>57</v>
      </c>
      <c r="D904" s="40" t="s">
        <v>70</v>
      </c>
      <c r="E904" s="157">
        <v>30414</v>
      </c>
      <c r="G904" s="92" t="str">
        <f>CONCATENATE(D904," - ",E904,", ")</f>
        <v>Disc Insulator Scrap - 30414, </v>
      </c>
      <c r="H904" s="324"/>
      <c r="I904" s="98" t="str">
        <f ca="1">IF(J903&gt;=3,(MID(I903,2,1)&amp;MID(I903,4,4)-K903),CELL("address",Z904))</f>
        <v>G905</v>
      </c>
      <c r="J904" s="98" t="str">
        <f ca="1">IF(J903&gt;=4,(MID(I904,1,1)&amp;MID(I904,2,4)+1),CELL("address",AA904))</f>
        <v>$AA$904</v>
      </c>
      <c r="K904" s="98" t="str">
        <f ca="1">IF(J903&gt;=5,(MID(J904,1,1)&amp;MID(J904,2,4)+1),CELL("address",AB904))</f>
        <v>$AB$904</v>
      </c>
      <c r="L904" s="98" t="str">
        <f ca="1">IF(J903&gt;=6,(MID(K904,1,1)&amp;MID(K904,2,4)+1),CELL("address",AC904))</f>
        <v>$AC$904</v>
      </c>
      <c r="M904" s="98" t="str">
        <f ca="1">IF(J903&gt;=7,(MID(L904,1,1)&amp;MID(L904,2,4)+1),CELL("address",AD904))</f>
        <v>$AD$904</v>
      </c>
      <c r="N904" s="98" t="str">
        <f ca="1">IF(J903&gt;=8,(MID(M904,1,1)&amp;MID(M904,2,4)+1),CELL("address",AE904))</f>
        <v>$AE$904</v>
      </c>
      <c r="O904" s="98" t="str">
        <f ca="1">IF(J903&gt;=9,(MID(N904,1,1)&amp;MID(N904,2,4)+1),CELL("address",AF904))</f>
        <v>$AF$904</v>
      </c>
      <c r="P904" s="98" t="str">
        <f ca="1">IF(J903&gt;=10,(MID(O904,1,1)&amp;MID(O904,2,4)+1),CELL("address",AG904))</f>
        <v>$AG$904</v>
      </c>
      <c r="Q904" s="98" t="str">
        <f ca="1">IF(J903&gt;=11,(MID(P904,1,1)&amp;MID(P904,2,4)+1),CELL("address",AH904))</f>
        <v>$AH$904</v>
      </c>
      <c r="R904" s="98" t="str">
        <f ca="1">IF(J903&gt;=12,(MID(Q904,1,1)&amp;MID(Q904,2,4)+1),CELL("address",AI904))</f>
        <v>$AI$904</v>
      </c>
    </row>
    <row r="905" spans="1:8" ht="15" customHeight="1">
      <c r="A905" s="39"/>
      <c r="B905" s="42"/>
      <c r="C905" s="296"/>
      <c r="D905" s="40"/>
      <c r="E905" s="158"/>
      <c r="F905" s="187"/>
      <c r="H905" s="1"/>
    </row>
    <row r="906" spans="1:15" ht="15" customHeight="1">
      <c r="A906" s="53"/>
      <c r="B906" s="54"/>
      <c r="C906" s="54"/>
      <c r="D906" s="263"/>
      <c r="E906" s="159">
        <f>E908+E909</f>
        <v>186.886</v>
      </c>
      <c r="F906" s="187"/>
      <c r="G906" s="98"/>
      <c r="H906" s="98"/>
      <c r="I906" s="98"/>
      <c r="J906" s="98"/>
      <c r="K906" s="98"/>
      <c r="L906" s="98"/>
      <c r="M906" s="98"/>
      <c r="N906" s="98"/>
      <c r="O906" s="98"/>
    </row>
    <row r="907" spans="1:18" ht="15" customHeight="1">
      <c r="A907" s="321" t="s">
        <v>5</v>
      </c>
      <c r="B907" s="321"/>
      <c r="C907" s="40" t="s">
        <v>17</v>
      </c>
      <c r="D907" s="296" t="s">
        <v>18</v>
      </c>
      <c r="E907" s="39" t="s">
        <v>7</v>
      </c>
      <c r="F907" s="187"/>
      <c r="G907" s="93" t="str">
        <f>CONCATENATE("Misc. Iron Scrap, Lying at ",C908,". Quantity in MT - ")</f>
        <v>Misc. Iron Scrap, Lying at S &amp; T Store Bathinda. Quantity in MT - </v>
      </c>
      <c r="H907" s="324" t="str">
        <f ca="1">CONCATENATE(G907,G908,(INDIRECT(I908)),(INDIRECT(J908)),(INDIRECT(K908)),(INDIRECT(L908)),(INDIRECT(M908)),(INDIRECT(N908)),(INDIRECT(O908)),(INDIRECT(P908)),(INDIRECT(Q908)),(INDIRECT(R908)),".")</f>
        <v>Misc. Iron Scrap, Lying at S &amp; T Store Bathinda. Quantity in MT - MS Rail scrap - 181.996, Earthwire GSL scrap - 4.89, .</v>
      </c>
      <c r="I907" s="98" t="str">
        <f aca="true" ca="1" t="array" ref="I907">CELL("address",INDEX(G907:G928,MATCH(TRUE,ISBLANK(G907:G928),0)))</f>
        <v>$G$910</v>
      </c>
      <c r="J907" s="98">
        <f aca="true" t="array" ref="J907">MATCH(TRUE,ISBLANK(G907:G928),0)</f>
        <v>4</v>
      </c>
      <c r="K907" s="98">
        <f>J907-3</f>
        <v>1</v>
      </c>
      <c r="L907" s="98"/>
      <c r="M907" s="98"/>
      <c r="N907" s="98"/>
      <c r="O907" s="98"/>
      <c r="P907" s="98"/>
      <c r="Q907" s="98"/>
      <c r="R907" s="98"/>
    </row>
    <row r="908" spans="1:18" ht="15" customHeight="1">
      <c r="A908" s="321" t="s">
        <v>51</v>
      </c>
      <c r="B908" s="321"/>
      <c r="C908" s="330" t="s">
        <v>57</v>
      </c>
      <c r="D908" s="42" t="s">
        <v>61</v>
      </c>
      <c r="E908" s="69">
        <v>181.996</v>
      </c>
      <c r="F908" s="98"/>
      <c r="G908" s="92" t="str">
        <f>CONCATENATE(D908," - ",E908,", ")</f>
        <v>MS Rail scrap - 181.996, </v>
      </c>
      <c r="H908" s="324"/>
      <c r="I908" s="98" t="str">
        <f ca="1">IF(J907&gt;=3,(MID(I907,2,1)&amp;MID(I907,4,4)-K907),CELL("address",Z908))</f>
        <v>G909</v>
      </c>
      <c r="J908" s="98" t="str">
        <f ca="1">IF(J907&gt;=4,(MID(I908,1,1)&amp;MID(I908,2,4)+1),CELL("address",AA908))</f>
        <v>G910</v>
      </c>
      <c r="K908" s="98" t="str">
        <f ca="1">IF(J907&gt;=5,(MID(J908,1,1)&amp;MID(J908,2,4)+1),CELL("address",AB908))</f>
        <v>$AB$908</v>
      </c>
      <c r="L908" s="98" t="str">
        <f ca="1">IF(J907&gt;=6,(MID(K908,1,1)&amp;MID(K908,2,4)+1),CELL("address",AC908))</f>
        <v>$AC$908</v>
      </c>
      <c r="M908" s="98" t="str">
        <f ca="1">IF(J907&gt;=7,(MID(L908,1,1)&amp;MID(L908,2,4)+1),CELL("address",AD908))</f>
        <v>$AD$908</v>
      </c>
      <c r="N908" s="98" t="str">
        <f ca="1">IF(J907&gt;=8,(MID(M908,1,1)&amp;MID(M908,2,4)+1),CELL("address",AE908))</f>
        <v>$AE$908</v>
      </c>
      <c r="O908" s="98" t="str">
        <f ca="1">IF(J907&gt;=9,(MID(N908,1,1)&amp;MID(N908,2,4)+1),CELL("address",AF908))</f>
        <v>$AF$908</v>
      </c>
      <c r="P908" s="98" t="str">
        <f ca="1">IF(J907&gt;=10,(MID(O908,1,1)&amp;MID(O908,2,4)+1),CELL("address",AG908))</f>
        <v>$AG$908</v>
      </c>
      <c r="Q908" s="98" t="str">
        <f ca="1">IF(J907&gt;=11,(MID(P908,1,1)&amp;MID(P908,2,4)+1),CELL("address",AH908))</f>
        <v>$AH$908</v>
      </c>
      <c r="R908" s="98" t="str">
        <f ca="1">IF(J907&gt;=12,(MID(Q908,1,1)&amp;MID(Q908,2,4)+1),CELL("address",AI908))</f>
        <v>$AI$908</v>
      </c>
    </row>
    <row r="909" spans="1:15" ht="15" customHeight="1">
      <c r="A909" s="321"/>
      <c r="B909" s="321"/>
      <c r="C909" s="330"/>
      <c r="D909" s="42" t="s">
        <v>142</v>
      </c>
      <c r="E909" s="69">
        <v>4.89</v>
      </c>
      <c r="F909" s="120"/>
      <c r="G909" s="92" t="str">
        <f>CONCATENATE(D909," - ",E909,", ")</f>
        <v>Earthwire GSL scrap - 4.89, </v>
      </c>
      <c r="H909" s="98"/>
      <c r="I909" s="98"/>
      <c r="J909" s="98"/>
      <c r="K909" s="98"/>
      <c r="L909" s="98"/>
      <c r="M909" s="98"/>
      <c r="N909" s="98"/>
      <c r="O909" s="98"/>
    </row>
    <row r="910" spans="1:8" ht="15" customHeight="1">
      <c r="A910" s="39"/>
      <c r="B910" s="41"/>
      <c r="C910" s="48"/>
      <c r="D910" s="41"/>
      <c r="E910" s="58"/>
      <c r="F910" s="188"/>
      <c r="H910" s="1"/>
    </row>
    <row r="911" spans="1:8" ht="15" customHeight="1">
      <c r="A911" s="53"/>
      <c r="B911" s="54"/>
      <c r="C911" s="54"/>
      <c r="D911" s="56"/>
      <c r="E911" s="57">
        <f>SUM(E913:E917)</f>
        <v>4.172</v>
      </c>
      <c r="F911" s="187"/>
      <c r="H911" s="1"/>
    </row>
    <row r="912" spans="1:18" ht="15" customHeight="1">
      <c r="A912" s="321" t="s">
        <v>5</v>
      </c>
      <c r="B912" s="321"/>
      <c r="C912" s="40" t="s">
        <v>17</v>
      </c>
      <c r="D912" s="296" t="s">
        <v>18</v>
      </c>
      <c r="E912" s="39" t="s">
        <v>7</v>
      </c>
      <c r="F912" s="98"/>
      <c r="G912" s="93" t="str">
        <f>CONCATENATE("Misc. Iron Scrap, Lying at ",C913,". Quantity in MT - ")</f>
        <v>Misc. Iron Scrap, Lying at CS Ferozepur. Quantity in MT - </v>
      </c>
      <c r="H912" s="324" t="str">
        <f ca="1">CONCATENATE(G912,G913,(INDIRECT(I913)),(INDIRECT(J913)),(INDIRECT(K913)),(INDIRECT(L913)),(INDIRECT(M913)),(INDIRECT(N913)),(INDIRECT(O913)),(INDIRECT(P913)),(INDIRECT(Q913)),(INDIRECT(R913)),".")</f>
        <v>Misc. Iron Scrap, Lying at CS Ferozepur. Quantity in MT - MS iron scrap - 3.386, Teen Patra scrap - 0.465, G.I. Scrap - 0.046, GSS wire scrap - 0.095, MS Rail scrap - 0.18, .</v>
      </c>
      <c r="I912" s="98" t="str">
        <f aca="true" ca="1" t="array" ref="I912">CELL("address",INDEX(G912:G933,MATCH(TRUE,ISBLANK(G912:G933),0)))</f>
        <v>$G$918</v>
      </c>
      <c r="J912" s="98">
        <f aca="true" t="array" ref="J912">MATCH(TRUE,ISBLANK(G912:G933),0)</f>
        <v>7</v>
      </c>
      <c r="K912" s="98">
        <f>J912-3</f>
        <v>4</v>
      </c>
      <c r="L912" s="98"/>
      <c r="M912" s="98"/>
      <c r="N912" s="98"/>
      <c r="O912" s="98"/>
      <c r="P912" s="98"/>
      <c r="Q912" s="98"/>
      <c r="R912" s="98"/>
    </row>
    <row r="913" spans="1:18" ht="15" customHeight="1">
      <c r="A913" s="321" t="s">
        <v>65</v>
      </c>
      <c r="B913" s="321"/>
      <c r="C913" s="330" t="s">
        <v>99</v>
      </c>
      <c r="D913" s="42" t="s">
        <v>29</v>
      </c>
      <c r="E913" s="58">
        <v>3.386</v>
      </c>
      <c r="F913" s="98"/>
      <c r="G913" s="92" t="str">
        <f>CONCATENATE(D913," - ",E913,", ")</f>
        <v>MS iron scrap - 3.386, </v>
      </c>
      <c r="H913" s="324"/>
      <c r="I913" s="98" t="str">
        <f ca="1">IF(J912&gt;=3,(MID(I912,2,1)&amp;MID(I912,4,3)-K912),CELL("address",Z913))</f>
        <v>G914</v>
      </c>
      <c r="J913" s="98" t="str">
        <f ca="1">IF(J912&gt;=4,(MID(I913,1,1)&amp;MID(I913,2,3)+1),CELL("address",AA913))</f>
        <v>G915</v>
      </c>
      <c r="K913" s="98" t="str">
        <f ca="1">IF(J912&gt;=5,(MID(J913,1,1)&amp;MID(J913,2,3)+1),CELL("address",AB913))</f>
        <v>G916</v>
      </c>
      <c r="L913" s="98" t="str">
        <f ca="1">IF(J912&gt;=6,(MID(K913,1,1)&amp;MID(K913,2,3)+1),CELL("address",AC913))</f>
        <v>G917</v>
      </c>
      <c r="M913" s="98" t="str">
        <f ca="1">IF(J912&gt;=7,(MID(L913,1,1)&amp;MID(L913,2,3)+1),CELL("address",AD913))</f>
        <v>G918</v>
      </c>
      <c r="N913" s="98" t="str">
        <f ca="1">IF(J912&gt;=8,(MID(M913,1,1)&amp;MID(M913,2,3)+1),CELL("address",AE913))</f>
        <v>$AE$913</v>
      </c>
      <c r="O913" s="98" t="str">
        <f ca="1">IF(J912&gt;=9,(MID(N913,1,1)&amp;MID(N913,2,3)+1),CELL("address",AF913))</f>
        <v>$AF$913</v>
      </c>
      <c r="P913" s="98" t="str">
        <f ca="1">IF(J912&gt;=10,(MID(O913,1,1)&amp;MID(O913,2,3)+1),CELL("address",AG913))</f>
        <v>$AG$913</v>
      </c>
      <c r="Q913" s="98" t="str">
        <f ca="1">IF(J912&gt;=11,(MID(P913,1,1)&amp;MID(P913,2,3)+1),CELL("address",AH913))</f>
        <v>$AH$913</v>
      </c>
      <c r="R913" s="98" t="str">
        <f ca="1">IF(J912&gt;=12,(MID(Q913,1,1)&amp;MID(Q913,2,3)+1),CELL("address",AI913))</f>
        <v>$AI$913</v>
      </c>
    </row>
    <row r="914" spans="1:21" ht="15" customHeight="1">
      <c r="A914" s="321"/>
      <c r="B914" s="321"/>
      <c r="C914" s="330"/>
      <c r="D914" s="81" t="s">
        <v>64</v>
      </c>
      <c r="E914" s="58">
        <v>0.465</v>
      </c>
      <c r="G914" s="92" t="str">
        <f>CONCATENATE(D914," - ",E914,", ")</f>
        <v>Teen Patra scrap - 0.465, </v>
      </c>
      <c r="H914" s="98"/>
      <c r="I914" s="98"/>
      <c r="J914" s="98"/>
      <c r="K914" s="98"/>
      <c r="L914" s="98"/>
      <c r="M914" s="98"/>
      <c r="N914" s="98"/>
      <c r="O914" s="98"/>
      <c r="Q914" s="392"/>
      <c r="R914" s="392"/>
      <c r="S914" s="392"/>
      <c r="T914" s="392"/>
      <c r="U914" s="392"/>
    </row>
    <row r="915" spans="1:21" ht="15" customHeight="1">
      <c r="A915" s="321"/>
      <c r="B915" s="321"/>
      <c r="C915" s="330"/>
      <c r="D915" s="81" t="s">
        <v>198</v>
      </c>
      <c r="E915" s="58">
        <v>0.046</v>
      </c>
      <c r="G915" s="92" t="str">
        <f>CONCATENATE(D915," - ",E915,", ")</f>
        <v>G.I. Scrap - 0.046, </v>
      </c>
      <c r="H915" s="1"/>
      <c r="Q915" s="393"/>
      <c r="R915" s="393"/>
      <c r="S915" s="393"/>
      <c r="T915" s="393"/>
      <c r="U915" s="393"/>
    </row>
    <row r="916" spans="1:21" ht="15" customHeight="1">
      <c r="A916" s="321"/>
      <c r="B916" s="321"/>
      <c r="C916" s="330"/>
      <c r="D916" s="182" t="s">
        <v>649</v>
      </c>
      <c r="E916" s="58">
        <v>0.095</v>
      </c>
      <c r="G916" s="92" t="str">
        <f>CONCATENATE(D916," - ",E916,", ")</f>
        <v>GSS wire scrap - 0.095, </v>
      </c>
      <c r="H916" s="1"/>
      <c r="Q916" s="256"/>
      <c r="R916" s="256"/>
      <c r="S916" s="256"/>
      <c r="T916" s="256"/>
      <c r="U916" s="256"/>
    </row>
    <row r="917" spans="1:21" ht="15" customHeight="1">
      <c r="A917" s="321"/>
      <c r="B917" s="321"/>
      <c r="C917" s="330"/>
      <c r="D917" s="40" t="s">
        <v>61</v>
      </c>
      <c r="E917" s="58">
        <v>0.18</v>
      </c>
      <c r="G917" s="92" t="str">
        <f>CONCATENATE(D917," - ",E917,", ")</f>
        <v>MS Rail scrap - 0.18, </v>
      </c>
      <c r="H917" s="1"/>
      <c r="Q917" s="256"/>
      <c r="R917" s="256"/>
      <c r="S917" s="256"/>
      <c r="T917" s="256"/>
      <c r="U917" s="256"/>
    </row>
    <row r="918" spans="1:15" ht="15" customHeight="1">
      <c r="A918" s="39"/>
      <c r="B918" s="41"/>
      <c r="C918" s="48"/>
      <c r="D918" s="38"/>
      <c r="E918" s="295"/>
      <c r="F918" s="187"/>
      <c r="G918" s="98"/>
      <c r="H918" s="98"/>
      <c r="I918" s="98"/>
      <c r="J918" s="98"/>
      <c r="K918" s="98"/>
      <c r="L918" s="98"/>
      <c r="M918" s="98"/>
      <c r="N918" s="98"/>
      <c r="O918" s="98"/>
    </row>
    <row r="919" spans="1:18" ht="15" customHeight="1">
      <c r="A919" s="332"/>
      <c r="B919" s="333"/>
      <c r="C919" s="40"/>
      <c r="D919" s="56"/>
      <c r="E919" s="57">
        <f>SUM(E921:E924)</f>
        <v>4.989</v>
      </c>
      <c r="F919" s="98"/>
      <c r="G919" s="193"/>
      <c r="H919" s="193"/>
      <c r="I919" s="98"/>
      <c r="J919" s="98"/>
      <c r="K919" s="98"/>
      <c r="L919" s="98"/>
      <c r="M919" s="98"/>
      <c r="N919" s="98"/>
      <c r="O919" s="98"/>
      <c r="P919" s="98"/>
      <c r="Q919" s="98"/>
      <c r="R919" s="98"/>
    </row>
    <row r="920" spans="1:18" ht="15" customHeight="1">
      <c r="A920" s="321" t="s">
        <v>5</v>
      </c>
      <c r="B920" s="321"/>
      <c r="C920" s="40" t="s">
        <v>17</v>
      </c>
      <c r="D920" s="296" t="s">
        <v>18</v>
      </c>
      <c r="E920" s="39" t="s">
        <v>7</v>
      </c>
      <c r="G920" s="93" t="str">
        <f>CONCATENATE("Misc. Iron Scrap, Lying at ",C921,". Quantity in MT - ")</f>
        <v>Misc. Iron Scrap, Lying at OL Fazilka. Quantity in MT - </v>
      </c>
      <c r="H920" s="324" t="str">
        <f ca="1">CONCATENATE(G920,G921,(INDIRECT(I921)),(INDIRECT(J921)),(INDIRECT(K921)),(INDIRECT(L921)),(INDIRECT(M921)),(INDIRECT(N921)),(INDIRECT(O921)),(INDIRECT(P921)),(INDIRECT(Q921)),(INDIRECT(R921)),".")</f>
        <v>Misc. Iron Scrap, Lying at OL Fazilka. Quantity in MT - MS iron scrap - 3.683, Teen Patra scrap - 0.17, MS Rail scrap - 1.115, M.S. Nuts &amp; Bolts Scrap - 0.021, .</v>
      </c>
      <c r="I920" s="98" t="str">
        <f aca="true" ca="1" t="array" ref="I920">CELL("address",INDEX(G920:G941,MATCH(TRUE,ISBLANK(G920:G941),0)))</f>
        <v>$G$925</v>
      </c>
      <c r="J920" s="98">
        <f aca="true" t="array" ref="J920">MATCH(TRUE,ISBLANK(G920:G941),0)</f>
        <v>6</v>
      </c>
      <c r="K920" s="98">
        <f>J920-3</f>
        <v>3</v>
      </c>
      <c r="L920" s="98"/>
      <c r="M920" s="98"/>
      <c r="N920" s="98"/>
      <c r="O920" s="98"/>
      <c r="P920" s="98"/>
      <c r="Q920" s="98"/>
      <c r="R920" s="98"/>
    </row>
    <row r="921" spans="1:18" ht="15" customHeight="1">
      <c r="A921" s="322" t="s">
        <v>66</v>
      </c>
      <c r="B921" s="323"/>
      <c r="C921" s="394" t="s">
        <v>112</v>
      </c>
      <c r="D921" s="268" t="s">
        <v>29</v>
      </c>
      <c r="E921" s="295">
        <v>3.683</v>
      </c>
      <c r="F921" s="1">
        <v>2.791</v>
      </c>
      <c r="G921" s="92" t="str">
        <f>CONCATENATE(D921," - ",E921,", ")</f>
        <v>MS iron scrap - 3.683, </v>
      </c>
      <c r="H921" s="324"/>
      <c r="I921" s="98" t="str">
        <f ca="1">IF(J920&gt;=3,(MID(I920,2,1)&amp;MID(I920,4,4)-K920),CELL("address",Z921))</f>
        <v>G922</v>
      </c>
      <c r="J921" s="98" t="str">
        <f ca="1">IF(J920&gt;=4,(MID(I921,1,1)&amp;MID(I921,2,4)+1),CELL("address",AA921))</f>
        <v>G923</v>
      </c>
      <c r="K921" s="98" t="str">
        <f ca="1">IF(J920&gt;=5,(MID(J921,1,1)&amp;MID(J921,2,4)+1),CELL("address",AB921))</f>
        <v>G924</v>
      </c>
      <c r="L921" s="98" t="str">
        <f ca="1">IF(J920&gt;=6,(MID(K921,1,1)&amp;MID(K921,2,4)+1),CELL("address",AC921))</f>
        <v>G925</v>
      </c>
      <c r="M921" s="98" t="str">
        <f ca="1">IF(J920&gt;=7,(MID(L921,1,1)&amp;MID(L921,2,4)+1),CELL("address",AD921))</f>
        <v>$AD$921</v>
      </c>
      <c r="N921" s="98" t="str">
        <f ca="1">IF(J920&gt;=8,(MID(M921,1,1)&amp;MID(M921,2,4)+1),CELL("address",AE921))</f>
        <v>$AE$921</v>
      </c>
      <c r="O921" s="98" t="str">
        <f ca="1">IF(J920&gt;=9,(MID(N921,1,1)&amp;MID(N921,2,4)+1),CELL("address",AF921))</f>
        <v>$AF$921</v>
      </c>
      <c r="P921" s="98" t="str">
        <f ca="1">IF(J920&gt;=10,(MID(O921,1,1)&amp;MID(O921,2,4)+1),CELL("address",AG921))</f>
        <v>$AG$921</v>
      </c>
      <c r="Q921" s="98" t="str">
        <f ca="1">IF(J920&gt;=11,(MID(P921,1,1)&amp;MID(P921,2,4)+1),CELL("address",AH921))</f>
        <v>$AH$921</v>
      </c>
      <c r="R921" s="98" t="str">
        <f ca="1">IF(J920&gt;=12,(MID(Q921,1,1)&amp;MID(Q921,2,4)+1),CELL("address",AI921))</f>
        <v>$AI$921</v>
      </c>
    </row>
    <row r="922" spans="1:15" ht="15" customHeight="1">
      <c r="A922" s="343"/>
      <c r="B922" s="344"/>
      <c r="C922" s="395"/>
      <c r="D922" s="81" t="s">
        <v>64</v>
      </c>
      <c r="E922" s="58">
        <v>0.17</v>
      </c>
      <c r="G922" s="92" t="str">
        <f>CONCATENATE(D922," - ",E922,", ")</f>
        <v>Teen Patra scrap - 0.17, </v>
      </c>
      <c r="H922" s="193"/>
      <c r="I922" s="98"/>
      <c r="J922" s="98"/>
      <c r="K922" s="98"/>
      <c r="L922" s="98"/>
      <c r="M922" s="98"/>
      <c r="N922" s="98"/>
      <c r="O922" s="98"/>
    </row>
    <row r="923" spans="1:8" ht="15" customHeight="1">
      <c r="A923" s="343"/>
      <c r="B923" s="344"/>
      <c r="C923" s="395"/>
      <c r="D923" s="308" t="s">
        <v>61</v>
      </c>
      <c r="E923" s="295">
        <v>1.115</v>
      </c>
      <c r="F923" s="1">
        <v>0.35</v>
      </c>
      <c r="G923" s="92" t="str">
        <f>CONCATENATE(D923," - ",E923,", ")</f>
        <v>MS Rail scrap - 1.115, </v>
      </c>
      <c r="H923" s="193"/>
    </row>
    <row r="924" spans="1:15" ht="15" customHeight="1">
      <c r="A924" s="345"/>
      <c r="B924" s="346"/>
      <c r="C924" s="396"/>
      <c r="D924" s="269" t="s">
        <v>199</v>
      </c>
      <c r="E924" s="295">
        <v>0.021</v>
      </c>
      <c r="F924" s="98">
        <v>0.005</v>
      </c>
      <c r="G924" s="92" t="str">
        <f>CONCATENATE(D924," - ",E924,", ")</f>
        <v>M.S. Nuts &amp; Bolts Scrap - 0.021, </v>
      </c>
      <c r="H924" s="193"/>
      <c r="I924" s="98"/>
      <c r="J924" s="98"/>
      <c r="K924" s="98"/>
      <c r="L924" s="98"/>
      <c r="M924" s="98"/>
      <c r="N924" s="98"/>
      <c r="O924" s="98"/>
    </row>
    <row r="925" spans="1:15" ht="15" customHeight="1">
      <c r="A925" s="325"/>
      <c r="B925" s="331"/>
      <c r="C925" s="296"/>
      <c r="D925" s="40"/>
      <c r="E925" s="58"/>
      <c r="F925" s="98"/>
      <c r="G925" s="193"/>
      <c r="H925" s="193"/>
      <c r="I925" s="98"/>
      <c r="J925" s="98"/>
      <c r="K925" s="98"/>
      <c r="L925" s="98"/>
      <c r="M925" s="98"/>
      <c r="N925" s="98"/>
      <c r="O925" s="98"/>
    </row>
    <row r="926" spans="1:18" ht="15" customHeight="1">
      <c r="A926" s="332"/>
      <c r="B926" s="333"/>
      <c r="C926" s="40"/>
      <c r="D926" s="56"/>
      <c r="E926" s="159">
        <f>SUM(E928:E928)</f>
        <v>100</v>
      </c>
      <c r="G926" s="193"/>
      <c r="H926" s="193"/>
      <c r="I926" s="98"/>
      <c r="J926" s="98"/>
      <c r="K926" s="98"/>
      <c r="L926" s="98"/>
      <c r="M926" s="98"/>
      <c r="N926" s="98"/>
      <c r="O926" s="98"/>
      <c r="P926" s="98"/>
      <c r="Q926" s="98"/>
      <c r="R926" s="98"/>
    </row>
    <row r="927" spans="1:18" ht="15" customHeight="1">
      <c r="A927" s="321" t="s">
        <v>5</v>
      </c>
      <c r="B927" s="321"/>
      <c r="C927" s="40" t="s">
        <v>17</v>
      </c>
      <c r="D927" s="296" t="s">
        <v>18</v>
      </c>
      <c r="E927" s="39" t="s">
        <v>7</v>
      </c>
      <c r="G927" s="93" t="str">
        <f>CONCATENATE("Misc. Iron Scrap, Lying at ",C928,". Quantity in MT - ")</f>
        <v>Misc. Iron Scrap, Lying at S &amp; T Store Bathinda. Quantity in MT - </v>
      </c>
      <c r="H927" s="324" t="str">
        <f ca="1">CONCATENATE(G927,G928,(INDIRECT(I928)),(INDIRECT(J928)),(INDIRECT(K928)),(INDIRECT(L928)),(INDIRECT(M928)),(INDIRECT(N928)),(INDIRECT(O928)),(INDIRECT(P928)),(INDIRECT(Q928)),(INDIRECT(R928)),".")</f>
        <v>Misc. Iron Scrap, Lying at S &amp; T Store Bathinda. Quantity in MT - MS Rail scrap - 100, .</v>
      </c>
      <c r="I927" s="98" t="str">
        <f aca="true" ca="1" t="array" ref="I927">CELL("address",INDEX(G927:G948,MATCH(TRUE,ISBLANK(G927:G948),0)))</f>
        <v>$G$929</v>
      </c>
      <c r="J927" s="98">
        <f aca="true" t="array" ref="J927">MATCH(TRUE,ISBLANK(G927:G948),0)</f>
        <v>3</v>
      </c>
      <c r="K927" s="98">
        <f>J927-3</f>
        <v>0</v>
      </c>
      <c r="L927" s="98"/>
      <c r="M927" s="98"/>
      <c r="N927" s="98"/>
      <c r="O927" s="98"/>
      <c r="P927" s="98"/>
      <c r="Q927" s="98"/>
      <c r="R927" s="98"/>
    </row>
    <row r="928" spans="1:18" ht="15" customHeight="1">
      <c r="A928" s="321" t="s">
        <v>67</v>
      </c>
      <c r="B928" s="321"/>
      <c r="C928" s="296" t="s">
        <v>57</v>
      </c>
      <c r="D928" s="40" t="s">
        <v>61</v>
      </c>
      <c r="E928" s="69">
        <v>100</v>
      </c>
      <c r="F928" s="120"/>
      <c r="G928" s="92" t="str">
        <f>CONCATENATE(D928," - ",E928,", ")</f>
        <v>MS Rail scrap - 100, </v>
      </c>
      <c r="H928" s="324"/>
      <c r="I928" s="98" t="str">
        <f ca="1">IF(J927&gt;=3,(MID(I927,2,1)&amp;MID(I927,4,4)-K927),CELL("address",Z928))</f>
        <v>G929</v>
      </c>
      <c r="J928" s="98" t="str">
        <f ca="1">IF(J927&gt;=4,(MID(I928,1,1)&amp;MID(I928,2,4)+1),CELL("address",AA928))</f>
        <v>$AA$928</v>
      </c>
      <c r="K928" s="98" t="str">
        <f ca="1">IF(J927&gt;=5,(MID(J928,1,1)&amp;MID(J928,2,4)+1),CELL("address",AB928))</f>
        <v>$AB$928</v>
      </c>
      <c r="L928" s="98" t="str">
        <f ca="1">IF(J927&gt;=6,(MID(K928,1,1)&amp;MID(K928,2,4)+1),CELL("address",AC928))</f>
        <v>$AC$928</v>
      </c>
      <c r="M928" s="98" t="str">
        <f ca="1">IF(J927&gt;=7,(MID(L928,1,1)&amp;MID(L928,2,4)+1),CELL("address",AD928))</f>
        <v>$AD$928</v>
      </c>
      <c r="N928" s="98" t="str">
        <f ca="1">IF(J927&gt;=8,(MID(M928,1,1)&amp;MID(M928,2,4)+1),CELL("address",AE928))</f>
        <v>$AE$928</v>
      </c>
      <c r="O928" s="98" t="str">
        <f ca="1">IF(J927&gt;=9,(MID(N928,1,1)&amp;MID(N928,2,4)+1),CELL("address",AF928))</f>
        <v>$AF$928</v>
      </c>
      <c r="P928" s="98" t="str">
        <f ca="1">IF(J927&gt;=10,(MID(O928,1,1)&amp;MID(O928,2,4)+1),CELL("address",AG928))</f>
        <v>$AG$928</v>
      </c>
      <c r="Q928" s="98" t="str">
        <f ca="1">IF(J927&gt;=11,(MID(P928,1,1)&amp;MID(P928,2,4)+1),CELL("address",AH928))</f>
        <v>$AH$928</v>
      </c>
      <c r="R928" s="98" t="str">
        <f ca="1">IF(J927&gt;=12,(MID(Q928,1,1)&amp;MID(Q928,2,4)+1),CELL("address",AI928))</f>
        <v>$AI$928</v>
      </c>
    </row>
    <row r="929" spans="1:15" ht="15" customHeight="1">
      <c r="A929" s="39"/>
      <c r="B929" s="41"/>
      <c r="C929" s="48"/>
      <c r="D929" s="41"/>
      <c r="E929" s="58"/>
      <c r="G929" s="193"/>
      <c r="H929" s="193"/>
      <c r="I929" s="98"/>
      <c r="J929" s="98"/>
      <c r="K929" s="98"/>
      <c r="L929" s="98"/>
      <c r="M929" s="98"/>
      <c r="N929" s="98"/>
      <c r="O929" s="98"/>
    </row>
    <row r="930" spans="1:18" ht="15" customHeight="1">
      <c r="A930" s="53"/>
      <c r="B930" s="54"/>
      <c r="C930" s="54"/>
      <c r="D930" s="56"/>
      <c r="E930" s="57">
        <f>SUM(E932:E938)</f>
        <v>21.922</v>
      </c>
      <c r="F930" s="120"/>
      <c r="G930" s="193"/>
      <c r="H930" s="193"/>
      <c r="I930" s="98"/>
      <c r="J930" s="98"/>
      <c r="K930" s="98"/>
      <c r="L930" s="98"/>
      <c r="M930" s="98"/>
      <c r="N930" s="98"/>
      <c r="O930" s="98"/>
      <c r="P930" s="98"/>
      <c r="Q930" s="98"/>
      <c r="R930" s="98"/>
    </row>
    <row r="931" spans="1:18" ht="15" customHeight="1">
      <c r="A931" s="321" t="s">
        <v>5</v>
      </c>
      <c r="B931" s="321"/>
      <c r="C931" s="40" t="s">
        <v>17</v>
      </c>
      <c r="D931" s="296" t="s">
        <v>18</v>
      </c>
      <c r="E931" s="39" t="s">
        <v>7</v>
      </c>
      <c r="G931" s="93" t="str">
        <f>CONCATENATE("Misc. Iron Scrap, Lying at ",C932,". Quantity in MT - ")</f>
        <v>Misc. Iron Scrap, Lying at CS Kotkapura. Quantity in MT - </v>
      </c>
      <c r="H931" s="324" t="str">
        <f ca="1">CONCATENATE(G931,G932,(INDIRECT(I932)),(INDIRECT(J932)),(INDIRECT(K932)),(INDIRECT(L932)),(INDIRECT(M932)),(INDIRECT(N932)),(INDIRECT(O932)),(INDIRECT(P932)),(INDIRECT(Q932)),(INDIRECT(R932)),".")</f>
        <v>Misc. Iron Scrap, Lying at CS Kotkapura. Quantity in MT - MS iron scrap - 6.093, Transformer body scrap - 8.799, Teen Patra scrap - 2.5, G.I. Scrap - 0.116, M.S. Nuts &amp; Bolts Scrap - 0.024, Tubular Poles scrap - 0.325, MS Rail scrap - 4.065, .</v>
      </c>
      <c r="I931" s="98" t="str">
        <f aca="true" ca="1" t="array" ref="I931">CELL("address",INDEX(G931:G952,MATCH(TRUE,ISBLANK(G931:G952),0)))</f>
        <v>$G$939</v>
      </c>
      <c r="J931" s="98">
        <f aca="true" t="array" ref="J931">MATCH(TRUE,ISBLANK(G931:G952),0)</f>
        <v>9</v>
      </c>
      <c r="K931" s="98">
        <f>J931-3</f>
        <v>6</v>
      </c>
      <c r="L931" s="98"/>
      <c r="M931" s="98"/>
      <c r="N931" s="98"/>
      <c r="O931" s="98"/>
      <c r="P931" s="98"/>
      <c r="Q931" s="98"/>
      <c r="R931" s="98"/>
    </row>
    <row r="932" spans="1:18" ht="15" customHeight="1">
      <c r="A932" s="321" t="s">
        <v>68</v>
      </c>
      <c r="B932" s="321"/>
      <c r="C932" s="330" t="s">
        <v>43</v>
      </c>
      <c r="D932" s="42" t="s">
        <v>29</v>
      </c>
      <c r="E932" s="58">
        <v>6.093</v>
      </c>
      <c r="G932" s="92" t="str">
        <f>CONCATENATE(D932," - ",E932,", ")</f>
        <v>MS iron scrap - 6.093, </v>
      </c>
      <c r="H932" s="324"/>
      <c r="I932" s="98" t="str">
        <f ca="1">IF(J931&gt;=3,(MID(I931,2,1)&amp;MID(I931,4,4)-K931),CELL("address",Z932))</f>
        <v>G933</v>
      </c>
      <c r="J932" s="98" t="str">
        <f ca="1">IF(J931&gt;=4,(MID(I932,1,1)&amp;MID(I932,2,4)+1),CELL("address",AA932))</f>
        <v>G934</v>
      </c>
      <c r="K932" s="98" t="str">
        <f ca="1">IF(J931&gt;=5,(MID(J932,1,1)&amp;MID(J932,2,4)+1),CELL("address",AB932))</f>
        <v>G935</v>
      </c>
      <c r="L932" s="98" t="str">
        <f ca="1">IF(J931&gt;=6,(MID(K932,1,1)&amp;MID(K932,2,4)+1),CELL("address",AC932))</f>
        <v>G936</v>
      </c>
      <c r="M932" s="98" t="str">
        <f ca="1">IF(J931&gt;=7,(MID(L932,1,1)&amp;MID(L932,2,4)+1),CELL("address",AD932))</f>
        <v>G937</v>
      </c>
      <c r="N932" s="98" t="str">
        <f ca="1">IF(J931&gt;=8,(MID(M932,1,1)&amp;MID(M932,2,4)+1),CELL("address",AE932))</f>
        <v>G938</v>
      </c>
      <c r="O932" s="98" t="str">
        <f ca="1">IF(J931&gt;=9,(MID(N932,1,1)&amp;MID(N932,2,4)+1),CELL("address",AF932))</f>
        <v>G939</v>
      </c>
      <c r="P932" s="98" t="str">
        <f ca="1">IF(J931&gt;=10,(MID(O932,1,1)&amp;MID(O932,2,4)+1),CELL("address",AG932))</f>
        <v>$AG$932</v>
      </c>
      <c r="Q932" s="98" t="str">
        <f ca="1">IF(J931&gt;=11,(MID(P932,1,1)&amp;MID(P932,2,4)+1),CELL("address",AH932))</f>
        <v>$AH$932</v>
      </c>
      <c r="R932" s="98" t="str">
        <f ca="1">IF(J931&gt;=12,(MID(Q932,1,1)&amp;MID(Q932,2,4)+1),CELL("address",AI932))</f>
        <v>$AI$932</v>
      </c>
    </row>
    <row r="933" spans="1:15" ht="15" customHeight="1">
      <c r="A933" s="321"/>
      <c r="B933" s="321"/>
      <c r="C933" s="330"/>
      <c r="D933" s="81" t="s">
        <v>60</v>
      </c>
      <c r="E933" s="58">
        <v>8.799</v>
      </c>
      <c r="F933" s="98"/>
      <c r="G933" s="92" t="str">
        <f aca="true" t="shared" si="4" ref="G933:G938">CONCATENATE(D933," - ",E933,", ")</f>
        <v>Transformer body scrap - 8.799, </v>
      </c>
      <c r="H933" s="193"/>
      <c r="I933" s="98"/>
      <c r="J933" s="98"/>
      <c r="K933" s="98"/>
      <c r="L933" s="98"/>
      <c r="M933" s="98"/>
      <c r="N933" s="98"/>
      <c r="O933" s="98"/>
    </row>
    <row r="934" spans="1:15" ht="15" customHeight="1">
      <c r="A934" s="321"/>
      <c r="B934" s="321"/>
      <c r="C934" s="330"/>
      <c r="D934" s="81" t="s">
        <v>64</v>
      </c>
      <c r="E934" s="58">
        <v>2.5</v>
      </c>
      <c r="F934" s="98"/>
      <c r="G934" s="92" t="str">
        <f t="shared" si="4"/>
        <v>Teen Patra scrap - 2.5, </v>
      </c>
      <c r="H934" s="193"/>
      <c r="I934" s="98"/>
      <c r="J934" s="98"/>
      <c r="K934" s="98"/>
      <c r="L934" s="98"/>
      <c r="M934" s="98"/>
      <c r="N934" s="98"/>
      <c r="O934" s="98"/>
    </row>
    <row r="935" spans="1:8" ht="15" customHeight="1">
      <c r="A935" s="321"/>
      <c r="B935" s="321"/>
      <c r="C935" s="330"/>
      <c r="D935" s="81" t="s">
        <v>198</v>
      </c>
      <c r="E935" s="58">
        <v>0.116</v>
      </c>
      <c r="G935" s="92" t="str">
        <f t="shared" si="4"/>
        <v>G.I. Scrap - 0.116, </v>
      </c>
      <c r="H935" s="193"/>
    </row>
    <row r="936" spans="1:8" ht="15" customHeight="1">
      <c r="A936" s="321"/>
      <c r="B936" s="321"/>
      <c r="C936" s="330"/>
      <c r="D936" s="81" t="s">
        <v>199</v>
      </c>
      <c r="E936" s="58">
        <v>0.024</v>
      </c>
      <c r="G936" s="92" t="str">
        <f t="shared" si="4"/>
        <v>M.S. Nuts &amp; Bolts Scrap - 0.024, </v>
      </c>
      <c r="H936" s="193"/>
    </row>
    <row r="937" spans="1:8" ht="15" customHeight="1">
      <c r="A937" s="321"/>
      <c r="B937" s="321"/>
      <c r="C937" s="330"/>
      <c r="D937" s="42" t="s">
        <v>351</v>
      </c>
      <c r="E937" s="58">
        <v>0.325</v>
      </c>
      <c r="G937" s="92" t="str">
        <f t="shared" si="4"/>
        <v>Tubular Poles scrap - 0.325, </v>
      </c>
      <c r="H937" s="193"/>
    </row>
    <row r="938" spans="1:8" ht="15" customHeight="1">
      <c r="A938" s="321"/>
      <c r="B938" s="321"/>
      <c r="C938" s="330"/>
      <c r="D938" s="40" t="s">
        <v>61</v>
      </c>
      <c r="E938" s="58">
        <v>4.065</v>
      </c>
      <c r="F938" s="120"/>
      <c r="G938" s="92" t="str">
        <f t="shared" si="4"/>
        <v>MS Rail scrap - 4.065, </v>
      </c>
      <c r="H938" s="193"/>
    </row>
    <row r="939" spans="1:8" ht="15" customHeight="1">
      <c r="A939" s="39"/>
      <c r="B939" s="41"/>
      <c r="C939" s="48"/>
      <c r="D939" s="307"/>
      <c r="E939" s="295"/>
      <c r="G939" s="193"/>
      <c r="H939" s="193"/>
    </row>
    <row r="940" spans="1:18" ht="15" customHeight="1">
      <c r="A940" s="53"/>
      <c r="B940" s="54"/>
      <c r="C940" s="54"/>
      <c r="D940" s="56"/>
      <c r="E940" s="57">
        <f>SUM(E942:E945)</f>
        <v>4.492</v>
      </c>
      <c r="F940" s="98"/>
      <c r="G940" s="193"/>
      <c r="H940" s="193"/>
      <c r="I940" s="98"/>
      <c r="J940" s="98"/>
      <c r="K940" s="98"/>
      <c r="L940" s="98"/>
      <c r="M940" s="98"/>
      <c r="N940" s="98"/>
      <c r="O940" s="98"/>
      <c r="P940" s="98"/>
      <c r="Q940" s="98"/>
      <c r="R940" s="98"/>
    </row>
    <row r="941" spans="1:18" ht="15" customHeight="1">
      <c r="A941" s="336" t="s">
        <v>5</v>
      </c>
      <c r="B941" s="336"/>
      <c r="C941" s="70" t="s">
        <v>17</v>
      </c>
      <c r="D941" s="296" t="s">
        <v>18</v>
      </c>
      <c r="E941" s="39" t="s">
        <v>7</v>
      </c>
      <c r="F941" s="98"/>
      <c r="G941" s="93" t="str">
        <f>CONCATENATE("Misc. Iron Scrap, Lying at ",C942,". Quantity in MT - ")</f>
        <v>Misc. Iron Scrap, Lying at OL Shri Mukfsar Sahib. Quantity in MT - </v>
      </c>
      <c r="H941" s="324" t="str">
        <f ca="1">CONCATENATE(G941,G942,(INDIRECT(I942)),(INDIRECT(J942)),(INDIRECT(K942)),(INDIRECT(L942)),(INDIRECT(M942)),(INDIRECT(N942)),(INDIRECT(O942)),(INDIRECT(P942)),(INDIRECT(Q942)),(INDIRECT(R942)),".")</f>
        <v>Misc. Iron Scrap, Lying at OL Shri Mukfsar Sahib. Quantity in MT - MS iron scrap - 1.709, Transformer body scrap - 2.302, G.I. scrap - 0.286, Teen Patra scrap - 0.195, .</v>
      </c>
      <c r="I941" s="98" t="str">
        <f aca="true" ca="1" t="array" ref="I941">CELL("address",INDEX(G941:G962,MATCH(TRUE,ISBLANK(G941:G962),0)))</f>
        <v>$G$946</v>
      </c>
      <c r="J941" s="98">
        <f aca="true" t="array" ref="J941">MATCH(TRUE,ISBLANK(G941:G962),0)</f>
        <v>6</v>
      </c>
      <c r="K941" s="98">
        <f>J941-3</f>
        <v>3</v>
      </c>
      <c r="L941" s="98"/>
      <c r="M941" s="98"/>
      <c r="N941" s="98"/>
      <c r="O941" s="98"/>
      <c r="P941" s="98"/>
      <c r="Q941" s="98"/>
      <c r="R941" s="98"/>
    </row>
    <row r="942" spans="1:18" ht="15" customHeight="1">
      <c r="A942" s="321" t="s">
        <v>175</v>
      </c>
      <c r="B942" s="321"/>
      <c r="C942" s="330" t="s">
        <v>307</v>
      </c>
      <c r="D942" s="42" t="s">
        <v>29</v>
      </c>
      <c r="E942" s="69">
        <v>1.709</v>
      </c>
      <c r="F942" s="98"/>
      <c r="G942" s="92" t="str">
        <f>CONCATENATE(D942," - ",E942,", ")</f>
        <v>MS iron scrap - 1.709, </v>
      </c>
      <c r="H942" s="324"/>
      <c r="I942" s="98" t="str">
        <f ca="1">IF(J941&gt;=3,(MID(I941,2,1)&amp;MID(I941,4,4)-K941),CELL("address",Z942))</f>
        <v>G943</v>
      </c>
      <c r="J942" s="98" t="str">
        <f ca="1">IF(J941&gt;=4,(MID(I942,1,1)&amp;MID(I942,2,4)+1),CELL("address",AA942))</f>
        <v>G944</v>
      </c>
      <c r="K942" s="98" t="str">
        <f ca="1">IF(J941&gt;=5,(MID(J942,1,1)&amp;MID(J942,2,4)+1),CELL("address",AB942))</f>
        <v>G945</v>
      </c>
      <c r="L942" s="98" t="str">
        <f ca="1">IF(J941&gt;=6,(MID(K942,1,1)&amp;MID(K942,2,4)+1),CELL("address",AC942))</f>
        <v>G946</v>
      </c>
      <c r="M942" s="98" t="str">
        <f ca="1">IF(J941&gt;=7,(MID(L942,1,1)&amp;MID(L942,2,4)+1),CELL("address",AD942))</f>
        <v>$AD$942</v>
      </c>
      <c r="N942" s="98" t="str">
        <f ca="1">IF(J941&gt;=8,(MID(M942,1,1)&amp;MID(M942,2,4)+1),CELL("address",AE942))</f>
        <v>$AE$942</v>
      </c>
      <c r="O942" s="98" t="str">
        <f ca="1">IF(J941&gt;=9,(MID(N942,1,1)&amp;MID(N942,2,4)+1),CELL("address",AF942))</f>
        <v>$AF$942</v>
      </c>
      <c r="P942" s="98" t="str">
        <f ca="1">IF(J941&gt;=10,(MID(O942,1,1)&amp;MID(O942,2,4)+1),CELL("address",AG942))</f>
        <v>$AG$942</v>
      </c>
      <c r="Q942" s="98" t="str">
        <f ca="1">IF(J941&gt;=11,(MID(P942,1,1)&amp;MID(P942,2,4)+1),CELL("address",AH942))</f>
        <v>$AH$942</v>
      </c>
      <c r="R942" s="98" t="str">
        <f ca="1">IF(J941&gt;=12,(MID(Q942,1,1)&amp;MID(Q942,2,4)+1),CELL("address",AI942))</f>
        <v>$AI$942</v>
      </c>
    </row>
    <row r="943" spans="1:15" ht="15" customHeight="1">
      <c r="A943" s="321"/>
      <c r="B943" s="321"/>
      <c r="C943" s="330"/>
      <c r="D943" s="81" t="s">
        <v>60</v>
      </c>
      <c r="E943" s="69">
        <v>2.302</v>
      </c>
      <c r="F943" s="98"/>
      <c r="G943" s="92" t="str">
        <f>CONCATENATE(D943," - ",E943,", ")</f>
        <v>Transformer body scrap - 2.302, </v>
      </c>
      <c r="H943" s="193"/>
      <c r="I943" s="98"/>
      <c r="J943" s="98"/>
      <c r="K943" s="98"/>
      <c r="L943" s="98"/>
      <c r="M943" s="98"/>
      <c r="N943" s="98"/>
      <c r="O943" s="98"/>
    </row>
    <row r="944" spans="1:15" ht="15" customHeight="1">
      <c r="A944" s="321"/>
      <c r="B944" s="321"/>
      <c r="C944" s="330"/>
      <c r="D944" s="81" t="s">
        <v>193</v>
      </c>
      <c r="E944" s="58">
        <v>0.286</v>
      </c>
      <c r="F944" s="98"/>
      <c r="G944" s="92" t="str">
        <f>CONCATENATE(D944," - ",E944,", ")</f>
        <v>G.I. scrap - 0.286, </v>
      </c>
      <c r="H944" s="193"/>
      <c r="I944" s="98"/>
      <c r="J944" s="98"/>
      <c r="K944" s="98"/>
      <c r="L944" s="98"/>
      <c r="M944" s="98"/>
      <c r="N944" s="98"/>
      <c r="O944" s="98"/>
    </row>
    <row r="945" spans="1:15" ht="15" customHeight="1">
      <c r="A945" s="321"/>
      <c r="B945" s="321"/>
      <c r="C945" s="330"/>
      <c r="D945" s="81" t="s">
        <v>64</v>
      </c>
      <c r="E945" s="58">
        <v>0.195</v>
      </c>
      <c r="F945" s="186"/>
      <c r="G945" s="92" t="str">
        <f>CONCATENATE(D945," - ",E945,", ")</f>
        <v>Teen Patra scrap - 0.195, </v>
      </c>
      <c r="H945" s="193"/>
      <c r="I945" s="98"/>
      <c r="J945" s="98"/>
      <c r="K945" s="98"/>
      <c r="L945" s="98"/>
      <c r="M945" s="98"/>
      <c r="N945" s="98"/>
      <c r="O945" s="98"/>
    </row>
    <row r="946" spans="1:15" ht="15" customHeight="1">
      <c r="A946" s="39"/>
      <c r="B946" s="41"/>
      <c r="C946" s="48"/>
      <c r="D946" s="307"/>
      <c r="E946" s="295"/>
      <c r="F946" s="187"/>
      <c r="G946" s="193"/>
      <c r="H946" s="193"/>
      <c r="I946" s="98"/>
      <c r="J946" s="98"/>
      <c r="K946" s="98"/>
      <c r="L946" s="98"/>
      <c r="M946" s="98"/>
      <c r="N946" s="98"/>
      <c r="O946" s="98"/>
    </row>
    <row r="947" spans="1:18" ht="15" customHeight="1">
      <c r="A947" s="53"/>
      <c r="B947" s="54"/>
      <c r="C947" s="54"/>
      <c r="D947" s="56"/>
      <c r="E947" s="57">
        <f>SUM(E949:E950)</f>
        <v>4.503</v>
      </c>
      <c r="F947" s="98"/>
      <c r="G947" s="193"/>
      <c r="H947" s="193"/>
      <c r="I947" s="98"/>
      <c r="J947" s="98"/>
      <c r="K947" s="98"/>
      <c r="L947" s="98"/>
      <c r="M947" s="98"/>
      <c r="N947" s="98"/>
      <c r="O947" s="98"/>
      <c r="P947" s="98"/>
      <c r="Q947" s="98"/>
      <c r="R947" s="98"/>
    </row>
    <row r="948" spans="1:18" ht="15" customHeight="1">
      <c r="A948" s="336" t="s">
        <v>5</v>
      </c>
      <c r="B948" s="336"/>
      <c r="C948" s="70" t="s">
        <v>17</v>
      </c>
      <c r="D948" s="296" t="s">
        <v>18</v>
      </c>
      <c r="E948" s="39" t="s">
        <v>7</v>
      </c>
      <c r="F948" s="201"/>
      <c r="G948" s="93" t="str">
        <f>CONCATENATE("Misc. Iron Scrap, Lying at ",C949,". Quantity in MT - ")</f>
        <v>Misc. Iron Scrap, Lying at OL Rajpura. Quantity in MT - </v>
      </c>
      <c r="H948" s="324" t="str">
        <f ca="1">CONCATENATE(G948,G949,(INDIRECT(I949)),(INDIRECT(J949)),(INDIRECT(K949)),(INDIRECT(L949)),(INDIRECT(M949)),(INDIRECT(N949)),(INDIRECT(O949)),(INDIRECT(P949)),(INDIRECT(Q949)),(INDIRECT(R949)),".")</f>
        <v>Misc. Iron Scrap, Lying at OL Rajpura. Quantity in MT - MS iron scrap - 3.053, MS Rail scrap - 1.45, .</v>
      </c>
      <c r="I948" s="98" t="str">
        <f aca="true" ca="1" t="array" ref="I948">CELL("address",INDEX(G948:G969,MATCH(TRUE,ISBLANK(G948:G969),0)))</f>
        <v>$G$951</v>
      </c>
      <c r="J948" s="98">
        <f aca="true" t="array" ref="J948">MATCH(TRUE,ISBLANK(G948:G969),0)</f>
        <v>4</v>
      </c>
      <c r="K948" s="98">
        <f>J948-3</f>
        <v>1</v>
      </c>
      <c r="L948" s="98"/>
      <c r="M948" s="98"/>
      <c r="N948" s="98"/>
      <c r="O948" s="98"/>
      <c r="P948" s="98"/>
      <c r="Q948" s="98"/>
      <c r="R948" s="98"/>
    </row>
    <row r="949" spans="1:18" ht="15" customHeight="1">
      <c r="A949" s="321" t="s">
        <v>119</v>
      </c>
      <c r="B949" s="321"/>
      <c r="C949" s="330" t="s">
        <v>103</v>
      </c>
      <c r="D949" s="268" t="s">
        <v>29</v>
      </c>
      <c r="E949" s="304">
        <v>3.053</v>
      </c>
      <c r="F949" s="186">
        <v>2.193</v>
      </c>
      <c r="G949" s="92" t="str">
        <f>CONCATENATE(D949," - ",E949,", ")</f>
        <v>MS iron scrap - 3.053, </v>
      </c>
      <c r="H949" s="324"/>
      <c r="I949" s="98" t="str">
        <f ca="1">IF(J948&gt;=3,(MID(I948,2,1)&amp;MID(I948,4,4)-K948),CELL("address",Z949))</f>
        <v>G950</v>
      </c>
      <c r="J949" s="98" t="str">
        <f ca="1">IF(J948&gt;=4,(MID(I949,1,1)&amp;MID(I949,2,4)+1),CELL("address",AA949))</f>
        <v>G951</v>
      </c>
      <c r="K949" s="98" t="str">
        <f ca="1">IF(J948&gt;=5,(MID(J949,1,1)&amp;MID(J949,2,4)+1),CELL("address",AB949))</f>
        <v>$AB$949</v>
      </c>
      <c r="L949" s="98" t="str">
        <f ca="1">IF(J948&gt;=6,(MID(K949,1,1)&amp;MID(K949,2,4)+1),CELL("address",AC949))</f>
        <v>$AC$949</v>
      </c>
      <c r="M949" s="98" t="str">
        <f ca="1">IF(J948&gt;=7,(MID(L949,1,1)&amp;MID(L949,2,4)+1),CELL("address",AD949))</f>
        <v>$AD$949</v>
      </c>
      <c r="N949" s="98" t="str">
        <f ca="1">IF(J948&gt;=8,(MID(M949,1,1)&amp;MID(M949,2,4)+1),CELL("address",AE949))</f>
        <v>$AE$949</v>
      </c>
      <c r="O949" s="98" t="str">
        <f ca="1">IF(J948&gt;=9,(MID(N949,1,1)&amp;MID(N949,2,4)+1),CELL("address",AF949))</f>
        <v>$AF$949</v>
      </c>
      <c r="P949" s="98" t="str">
        <f ca="1">IF(J948&gt;=10,(MID(O949,1,1)&amp;MID(O949,2,4)+1),CELL("address",AG949))</f>
        <v>$AG$949</v>
      </c>
      <c r="Q949" s="98" t="str">
        <f ca="1">IF(J948&gt;=11,(MID(P949,1,1)&amp;MID(P949,2,4)+1),CELL("address",AH949))</f>
        <v>$AH$949</v>
      </c>
      <c r="R949" s="98" t="str">
        <f ca="1">IF(J948&gt;=12,(MID(Q949,1,1)&amp;MID(Q949,2,4)+1),CELL("address",AI949))</f>
        <v>$AI$949</v>
      </c>
    </row>
    <row r="950" spans="1:15" ht="15" customHeight="1">
      <c r="A950" s="321"/>
      <c r="B950" s="321"/>
      <c r="C950" s="330"/>
      <c r="D950" s="40" t="s">
        <v>61</v>
      </c>
      <c r="E950" s="58">
        <v>1.45</v>
      </c>
      <c r="F950" s="98"/>
      <c r="G950" s="92" t="str">
        <f>CONCATENATE(D950," - ",E950,", ")</f>
        <v>MS Rail scrap - 1.45, </v>
      </c>
      <c r="H950" s="193"/>
      <c r="I950" s="98"/>
      <c r="J950" s="98"/>
      <c r="K950" s="98"/>
      <c r="L950" s="98"/>
      <c r="M950" s="98"/>
      <c r="N950" s="98"/>
      <c r="O950" s="98"/>
    </row>
    <row r="951" spans="1:15" ht="15" customHeight="1">
      <c r="A951" s="39"/>
      <c r="B951" s="41"/>
      <c r="C951" s="48"/>
      <c r="D951" s="41"/>
      <c r="E951" s="58"/>
      <c r="F951" s="98"/>
      <c r="G951" s="193"/>
      <c r="H951" s="193"/>
      <c r="I951" s="98"/>
      <c r="J951" s="98"/>
      <c r="K951" s="98"/>
      <c r="L951" s="98"/>
      <c r="M951" s="98"/>
      <c r="N951" s="98"/>
      <c r="O951" s="98"/>
    </row>
    <row r="952" spans="1:18" ht="15" customHeight="1">
      <c r="A952" s="53"/>
      <c r="B952" s="54"/>
      <c r="C952" s="54"/>
      <c r="D952" s="56"/>
      <c r="E952" s="57">
        <f>SUM(E954:E954)</f>
        <v>2</v>
      </c>
      <c r="F952" s="98"/>
      <c r="G952" s="193"/>
      <c r="H952" s="193"/>
      <c r="I952" s="98"/>
      <c r="J952" s="98"/>
      <c r="K952" s="98"/>
      <c r="L952" s="98"/>
      <c r="M952" s="98"/>
      <c r="N952" s="98"/>
      <c r="O952" s="98"/>
      <c r="P952" s="98"/>
      <c r="Q952" s="98"/>
      <c r="R952" s="98"/>
    </row>
    <row r="953" spans="1:18" ht="15" customHeight="1">
      <c r="A953" s="336" t="s">
        <v>5</v>
      </c>
      <c r="B953" s="336"/>
      <c r="C953" s="70" t="s">
        <v>17</v>
      </c>
      <c r="D953" s="296" t="s">
        <v>18</v>
      </c>
      <c r="E953" s="39" t="s">
        <v>69</v>
      </c>
      <c r="F953" s="98"/>
      <c r="G953" s="93" t="str">
        <f>CONCATENATE("U/S Tyres, Lying at ",C954,". Quantity in No - ")</f>
        <v>U/S Tyres, Lying at CS Sangrur. Quantity in No - </v>
      </c>
      <c r="H953" s="324" t="str">
        <f ca="1">CONCATENATE(G953,G954,(INDIRECT(I954)),(INDIRECT(J954)),(INDIRECT(K954)),(INDIRECT(L954)),(INDIRECT(M954)),(INDIRECT(N954)),(INDIRECT(O954)),(INDIRECT(P954)),(INDIRECT(Q954)),(INDIRECT(R954)),".")</f>
        <v>U/S Tyres, Lying at CS Sangrur. Quantity in No - U/S Tyres - 2, .</v>
      </c>
      <c r="I953" s="98" t="str">
        <f aca="true" ca="1" t="array" ref="I953">CELL("address",INDEX(G953:G974,MATCH(TRUE,ISBLANK(G953:G974),0)))</f>
        <v>$G$955</v>
      </c>
      <c r="J953" s="98">
        <f aca="true" t="array" ref="J953">MATCH(TRUE,ISBLANK(G953:G974),0)</f>
        <v>3</v>
      </c>
      <c r="K953" s="98">
        <f>J953-3</f>
        <v>0</v>
      </c>
      <c r="L953" s="98"/>
      <c r="M953" s="98"/>
      <c r="N953" s="98"/>
      <c r="O953" s="98"/>
      <c r="P953" s="98"/>
      <c r="Q953" s="98"/>
      <c r="R953" s="98"/>
    </row>
    <row r="954" spans="1:18" ht="15" customHeight="1">
      <c r="A954" s="321" t="s">
        <v>200</v>
      </c>
      <c r="B954" s="321"/>
      <c r="C954" s="296" t="s">
        <v>79</v>
      </c>
      <c r="D954" s="42" t="s">
        <v>330</v>
      </c>
      <c r="E954" s="69">
        <v>2</v>
      </c>
      <c r="F954" s="98"/>
      <c r="G954" s="92" t="str">
        <f>CONCATENATE(D954," - ",E954,", ")</f>
        <v>U/S Tyres - 2, </v>
      </c>
      <c r="H954" s="324"/>
      <c r="I954" s="98" t="str">
        <f ca="1">IF(J953&gt;=3,(MID(I953,2,1)&amp;MID(I953,4,4)-K953),CELL("address",Z954))</f>
        <v>G955</v>
      </c>
      <c r="J954" s="98" t="str">
        <f ca="1">IF(J953&gt;=4,(MID(I954,1,1)&amp;MID(I954,2,4)+1),CELL("address",AA954))</f>
        <v>$AA$954</v>
      </c>
      <c r="K954" s="98" t="str">
        <f ca="1">IF(J953&gt;=5,(MID(J954,1,1)&amp;MID(J954,2,4)+1),CELL("address",AB954))</f>
        <v>$AB$954</v>
      </c>
      <c r="L954" s="98" t="str">
        <f ca="1">IF(J953&gt;=6,(MID(K954,1,1)&amp;MID(K954,2,4)+1),CELL("address",AC954))</f>
        <v>$AC$954</v>
      </c>
      <c r="M954" s="98" t="str">
        <f ca="1">IF(J953&gt;=7,(MID(L954,1,1)&amp;MID(L954,2,4)+1),CELL("address",AD954))</f>
        <v>$AD$954</v>
      </c>
      <c r="N954" s="98" t="str">
        <f ca="1">IF(J953&gt;=8,(MID(M954,1,1)&amp;MID(M954,2,4)+1),CELL("address",AE954))</f>
        <v>$AE$954</v>
      </c>
      <c r="O954" s="98" t="str">
        <f ca="1">IF(J953&gt;=9,(MID(N954,1,1)&amp;MID(N954,2,4)+1),CELL("address",AF954))</f>
        <v>$AF$954</v>
      </c>
      <c r="P954" s="98" t="str">
        <f ca="1">IF(J953&gt;=10,(MID(O954,1,1)&amp;MID(O954,2,4)+1),CELL("address",AG954))</f>
        <v>$AG$954</v>
      </c>
      <c r="Q954" s="98" t="str">
        <f ca="1">IF(J953&gt;=11,(MID(P954,1,1)&amp;MID(P954,2,4)+1),CELL("address",AH954))</f>
        <v>$AH$954</v>
      </c>
      <c r="R954" s="98" t="str">
        <f ca="1">IF(J953&gt;=12,(MID(Q954,1,1)&amp;MID(Q954,2,4)+1),CELL("address",AI954))</f>
        <v>$AI$954</v>
      </c>
    </row>
    <row r="955" spans="1:15" ht="15" customHeight="1">
      <c r="A955" s="39"/>
      <c r="B955" s="41"/>
      <c r="C955" s="48"/>
      <c r="D955" s="41"/>
      <c r="E955" s="58"/>
      <c r="F955" s="98"/>
      <c r="G955" s="193"/>
      <c r="H955" s="193"/>
      <c r="I955" s="98"/>
      <c r="J955" s="98"/>
      <c r="K955" s="98"/>
      <c r="L955" s="98"/>
      <c r="M955" s="98"/>
      <c r="N955" s="98"/>
      <c r="O955" s="98"/>
    </row>
    <row r="956" spans="1:18" ht="15" customHeight="1">
      <c r="A956" s="53"/>
      <c r="B956" s="54"/>
      <c r="C956" s="54"/>
      <c r="D956" s="56"/>
      <c r="E956" s="57">
        <f>SUM(E958:E959)</f>
        <v>105</v>
      </c>
      <c r="F956" s="98"/>
      <c r="G956" s="193"/>
      <c r="H956" s="193"/>
      <c r="I956" s="98"/>
      <c r="J956" s="98"/>
      <c r="K956" s="98"/>
      <c r="L956" s="98"/>
      <c r="M956" s="98"/>
      <c r="N956" s="98"/>
      <c r="O956" s="98"/>
      <c r="P956" s="98"/>
      <c r="Q956" s="98"/>
      <c r="R956" s="98"/>
    </row>
    <row r="957" spans="1:18" ht="15" customHeight="1">
      <c r="A957" s="336" t="s">
        <v>5</v>
      </c>
      <c r="B957" s="336"/>
      <c r="C957" s="70" t="s">
        <v>17</v>
      </c>
      <c r="D957" s="296" t="s">
        <v>18</v>
      </c>
      <c r="E957" s="39" t="s">
        <v>69</v>
      </c>
      <c r="F957" s="98"/>
      <c r="G957" s="93" t="str">
        <f>CONCATENATE("U/S Tyres &amp; U/S Tubes, Lying at ",C958,". Quantity in No - ")</f>
        <v>U/S Tyres &amp; U/S Tubes, Lying at CS Patiala. Quantity in No - </v>
      </c>
      <c r="H957" s="324" t="str">
        <f ca="1">CONCATENATE(G957,G958,(INDIRECT(I958)),(INDIRECT(J958)),(INDIRECT(K958)),(INDIRECT(L958)),(INDIRECT(M958)),(INDIRECT(N958)),(INDIRECT(O958)),(INDIRECT(P958)),(INDIRECT(Q958)),(INDIRECT(R958)),".")</f>
        <v>U/S Tyres &amp; U/S Tubes, Lying at CS Patiala. Quantity in No - U/S Tyres - 60, U/S Tubes - 45, .</v>
      </c>
      <c r="I957" s="98" t="str">
        <f aca="true" ca="1" t="array" ref="I957">CELL("address",INDEX(G957:G978,MATCH(TRUE,ISBLANK(G957:G978),0)))</f>
        <v>$G$960</v>
      </c>
      <c r="J957" s="98">
        <f aca="true" t="array" ref="J957">MATCH(TRUE,ISBLANK(G957:G978),0)</f>
        <v>4</v>
      </c>
      <c r="K957" s="98">
        <f>J957-3</f>
        <v>1</v>
      </c>
      <c r="L957" s="98"/>
      <c r="M957" s="98"/>
      <c r="N957" s="98"/>
      <c r="O957" s="98"/>
      <c r="P957" s="98"/>
      <c r="Q957" s="98"/>
      <c r="R957" s="98"/>
    </row>
    <row r="958" spans="1:18" ht="15" customHeight="1">
      <c r="A958" s="321" t="s">
        <v>207</v>
      </c>
      <c r="B958" s="321"/>
      <c r="C958" s="330" t="s">
        <v>52</v>
      </c>
      <c r="D958" s="40" t="s">
        <v>330</v>
      </c>
      <c r="E958" s="216">
        <v>60</v>
      </c>
      <c r="F958" s="98"/>
      <c r="G958" s="92" t="str">
        <f>CONCATENATE(D958," - ",E958,", ")</f>
        <v>U/S Tyres - 60, </v>
      </c>
      <c r="H958" s="324"/>
      <c r="I958" s="98" t="str">
        <f ca="1">IF(J957&gt;=3,(MID(I957,2,1)&amp;MID(I957,4,4)-K957),CELL("address",Z958))</f>
        <v>G959</v>
      </c>
      <c r="J958" s="98" t="str">
        <f ca="1">IF(J957&gt;=4,(MID(I958,1,1)&amp;MID(I958,2,4)+1),CELL("address",AA958))</f>
        <v>G960</v>
      </c>
      <c r="K958" s="98" t="str">
        <f ca="1">IF(J957&gt;=5,(MID(J958,1,1)&amp;MID(J958,2,4)+1),CELL("address",AB958))</f>
        <v>$AB$958</v>
      </c>
      <c r="L958" s="98" t="str">
        <f ca="1">IF(J957&gt;=6,(MID(K958,1,1)&amp;MID(K958,2,4)+1),CELL("address",AC958))</f>
        <v>$AC$958</v>
      </c>
      <c r="M958" s="98" t="str">
        <f ca="1">IF(J957&gt;=7,(MID(L958,1,1)&amp;MID(L958,2,4)+1),CELL("address",AD958))</f>
        <v>$AD$958</v>
      </c>
      <c r="N958" s="98" t="str">
        <f ca="1">IF(J957&gt;=8,(MID(M958,1,1)&amp;MID(M958,2,4)+1),CELL("address",AE958))</f>
        <v>$AE$958</v>
      </c>
      <c r="O958" s="98" t="str">
        <f ca="1">IF(J957&gt;=9,(MID(N958,1,1)&amp;MID(N958,2,4)+1),CELL("address",AF958))</f>
        <v>$AF$958</v>
      </c>
      <c r="P958" s="98" t="str">
        <f ca="1">IF(J957&gt;=10,(MID(O958,1,1)&amp;MID(O958,2,4)+1),CELL("address",AG958))</f>
        <v>$AG$958</v>
      </c>
      <c r="Q958" s="98" t="str">
        <f ca="1">IF(J957&gt;=11,(MID(P958,1,1)&amp;MID(P958,2,4)+1),CELL("address",AH958))</f>
        <v>$AH$958</v>
      </c>
      <c r="R958" s="98" t="str">
        <f ca="1">IF(J957&gt;=12,(MID(Q958,1,1)&amp;MID(Q958,2,4)+1),CELL("address",AI958))</f>
        <v>$AI$958</v>
      </c>
    </row>
    <row r="959" spans="1:15" ht="15" customHeight="1">
      <c r="A959" s="321"/>
      <c r="B959" s="321"/>
      <c r="C959" s="330"/>
      <c r="D959" s="40" t="s">
        <v>331</v>
      </c>
      <c r="E959" s="216">
        <v>45</v>
      </c>
      <c r="F959" s="98"/>
      <c r="G959" s="92" t="str">
        <f>CONCATENATE(D959," - ",E959,", ")</f>
        <v>U/S Tubes - 45, </v>
      </c>
      <c r="H959" s="193"/>
      <c r="I959" s="98"/>
      <c r="J959" s="98"/>
      <c r="K959" s="98"/>
      <c r="L959" s="98"/>
      <c r="M959" s="98"/>
      <c r="N959" s="98"/>
      <c r="O959" s="98"/>
    </row>
    <row r="960" spans="1:15" ht="15" customHeight="1">
      <c r="A960" s="325"/>
      <c r="B960" s="331"/>
      <c r="C960" s="296"/>
      <c r="D960" s="307"/>
      <c r="E960" s="295"/>
      <c r="F960" s="187"/>
      <c r="G960" s="193"/>
      <c r="H960" s="193"/>
      <c r="I960" s="98"/>
      <c r="J960" s="98"/>
      <c r="K960" s="98"/>
      <c r="L960" s="98"/>
      <c r="M960" s="98"/>
      <c r="N960" s="98"/>
      <c r="O960" s="98"/>
    </row>
    <row r="961" spans="1:18" ht="15" customHeight="1">
      <c r="A961" s="332"/>
      <c r="B961" s="333"/>
      <c r="C961" s="40"/>
      <c r="D961" s="204"/>
      <c r="E961" s="57">
        <f>SUM(E963:E967)</f>
        <v>9.845</v>
      </c>
      <c r="F961" s="98"/>
      <c r="G961" s="193"/>
      <c r="H961" s="193"/>
      <c r="I961" s="98"/>
      <c r="J961" s="98"/>
      <c r="K961" s="98"/>
      <c r="L961" s="98"/>
      <c r="M961" s="98"/>
      <c r="N961" s="98"/>
      <c r="O961" s="98"/>
      <c r="P961" s="98"/>
      <c r="Q961" s="98"/>
      <c r="R961" s="98"/>
    </row>
    <row r="962" spans="1:18" ht="15" customHeight="1">
      <c r="A962" s="336" t="s">
        <v>5</v>
      </c>
      <c r="B962" s="336"/>
      <c r="C962" s="70" t="s">
        <v>17</v>
      </c>
      <c r="D962" s="296" t="s">
        <v>18</v>
      </c>
      <c r="E962" s="39" t="s">
        <v>7</v>
      </c>
      <c r="F962" s="98"/>
      <c r="G962" s="93" t="str">
        <f>CONCATENATE("Misc. Iron Scrap, Lying at ",C963,". Quantity in MT - ")</f>
        <v>Misc. Iron Scrap, Lying at CS Sangrur. Quantity in MT - </v>
      </c>
      <c r="H962" s="324" t="str">
        <f ca="1">CONCATENATE(G962,G963,(INDIRECT(I963)),(INDIRECT(J963)),(INDIRECT(K963)),(INDIRECT(L963)),(INDIRECT(M963)),(INDIRECT(N963)),(INDIRECT(O963)),(INDIRECT(P963)),(INDIRECT(Q963)),(INDIRECT(R963)),".")</f>
        <v>Misc. Iron Scrap, Lying at CS Sangrur. Quantity in MT - Tubular Poles - 0.155, MS iron scrap - 4.873, MS Rail scrap - 0.33, Transformer body scrap - 4.449, G.I. Scrap - 0.038, .</v>
      </c>
      <c r="I962" s="98" t="str">
        <f aca="true" ca="1" t="array" ref="I962">CELL("address",INDEX(G962:G983,MATCH(TRUE,ISBLANK(G962:G983),0)))</f>
        <v>$G$968</v>
      </c>
      <c r="J962" s="98">
        <f aca="true" t="array" ref="J962">MATCH(TRUE,ISBLANK(G962:G983),0)</f>
        <v>7</v>
      </c>
      <c r="K962" s="98">
        <f>J962-3</f>
        <v>4</v>
      </c>
      <c r="L962" s="98"/>
      <c r="M962" s="98"/>
      <c r="N962" s="98"/>
      <c r="O962" s="98"/>
      <c r="P962" s="98"/>
      <c r="Q962" s="98"/>
      <c r="R962" s="98"/>
    </row>
    <row r="963" spans="1:18" ht="15" customHeight="1">
      <c r="A963" s="321" t="s">
        <v>208</v>
      </c>
      <c r="B963" s="321"/>
      <c r="C963" s="330" t="s">
        <v>79</v>
      </c>
      <c r="D963" s="42" t="s">
        <v>335</v>
      </c>
      <c r="E963" s="69">
        <v>0.155</v>
      </c>
      <c r="F963" s="98"/>
      <c r="G963" s="92" t="str">
        <f>CONCATENATE(D963," - ",E963,", ")</f>
        <v>Tubular Poles - 0.155, </v>
      </c>
      <c r="H963" s="324"/>
      <c r="I963" s="98" t="str">
        <f ca="1">IF(J962&gt;=3,(MID(I962,2,1)&amp;MID(I962,4,4)-K962),CELL("address",Z963))</f>
        <v>G964</v>
      </c>
      <c r="J963" s="98" t="str">
        <f ca="1">IF(J962&gt;=4,(MID(I963,1,1)&amp;MID(I963,2,4)+1),CELL("address",AA963))</f>
        <v>G965</v>
      </c>
      <c r="K963" s="98" t="str">
        <f ca="1">IF(J962&gt;=5,(MID(J963,1,1)&amp;MID(J963,2,4)+1),CELL("address",AB963))</f>
        <v>G966</v>
      </c>
      <c r="L963" s="98" t="str">
        <f ca="1">IF(J962&gt;=6,(MID(K963,1,1)&amp;MID(K963,2,4)+1),CELL("address",AC963))</f>
        <v>G967</v>
      </c>
      <c r="M963" s="98" t="str">
        <f ca="1">IF(J962&gt;=7,(MID(L963,1,1)&amp;MID(L963,2,4)+1),CELL("address",AD963))</f>
        <v>G968</v>
      </c>
      <c r="N963" s="98" t="str">
        <f ca="1">IF(J962&gt;=8,(MID(M963,1,1)&amp;MID(M963,2,4)+1),CELL("address",AE963))</f>
        <v>$AE$963</v>
      </c>
      <c r="O963" s="98" t="str">
        <f ca="1">IF(J962&gt;=9,(MID(N963,1,1)&amp;MID(N963,2,4)+1),CELL("address",AF963))</f>
        <v>$AF$963</v>
      </c>
      <c r="P963" s="98" t="str">
        <f ca="1">IF(J962&gt;=10,(MID(O963,1,1)&amp;MID(O963,2,4)+1),CELL("address",AG963))</f>
        <v>$AG$963</v>
      </c>
      <c r="Q963" s="98" t="str">
        <f ca="1">IF(J962&gt;=11,(MID(P963,1,1)&amp;MID(P963,2,4)+1),CELL("address",AH963))</f>
        <v>$AH$963</v>
      </c>
      <c r="R963" s="98" t="str">
        <f ca="1">IF(J962&gt;=12,(MID(Q963,1,1)&amp;MID(Q963,2,4)+1),CELL("address",AI963))</f>
        <v>$AI$963</v>
      </c>
    </row>
    <row r="964" spans="1:15" ht="15" customHeight="1">
      <c r="A964" s="321"/>
      <c r="B964" s="321"/>
      <c r="C964" s="330"/>
      <c r="D964" s="42" t="s">
        <v>29</v>
      </c>
      <c r="E964" s="58">
        <v>4.873</v>
      </c>
      <c r="F964" s="98"/>
      <c r="G964" s="92" t="str">
        <f>CONCATENATE(D964," - ",E964,", ")</f>
        <v>MS iron scrap - 4.873, </v>
      </c>
      <c r="H964" s="193"/>
      <c r="I964" s="98"/>
      <c r="J964" s="98"/>
      <c r="K964" s="98"/>
      <c r="L964" s="98"/>
      <c r="M964" s="98"/>
      <c r="N964" s="98"/>
      <c r="O964" s="98"/>
    </row>
    <row r="965" spans="1:15" ht="15" customHeight="1">
      <c r="A965" s="321"/>
      <c r="B965" s="321"/>
      <c r="C965" s="330"/>
      <c r="D965" s="42" t="s">
        <v>61</v>
      </c>
      <c r="E965" s="58">
        <v>0.33</v>
      </c>
      <c r="F965" s="98"/>
      <c r="G965" s="92" t="str">
        <f>CONCATENATE(D965," - ",E965,", ")</f>
        <v>MS Rail scrap - 0.33, </v>
      </c>
      <c r="H965" s="193"/>
      <c r="I965" s="98"/>
      <c r="J965" s="98"/>
      <c r="K965" s="98"/>
      <c r="L965" s="98"/>
      <c r="M965" s="98"/>
      <c r="N965" s="98"/>
      <c r="O965" s="98"/>
    </row>
    <row r="966" spans="1:15" ht="15" customHeight="1">
      <c r="A966" s="321"/>
      <c r="B966" s="321"/>
      <c r="C966" s="330"/>
      <c r="D966" s="81" t="s">
        <v>60</v>
      </c>
      <c r="E966" s="58">
        <v>4.449</v>
      </c>
      <c r="F966" s="98"/>
      <c r="G966" s="92" t="str">
        <f>CONCATENATE(D966," - ",E966,", ")</f>
        <v>Transformer body scrap - 4.449, </v>
      </c>
      <c r="H966" s="193"/>
      <c r="I966" s="98"/>
      <c r="J966" s="98"/>
      <c r="K966" s="98"/>
      <c r="L966" s="98"/>
      <c r="M966" s="98"/>
      <c r="N966" s="98"/>
      <c r="O966" s="98"/>
    </row>
    <row r="967" spans="1:15" ht="15" customHeight="1">
      <c r="A967" s="321"/>
      <c r="B967" s="321"/>
      <c r="C967" s="330"/>
      <c r="D967" s="81" t="s">
        <v>198</v>
      </c>
      <c r="E967" s="58">
        <v>0.038</v>
      </c>
      <c r="F967" s="98"/>
      <c r="G967" s="92" t="str">
        <f>CONCATENATE(D967," - ",E967,", ")</f>
        <v>G.I. Scrap - 0.038, </v>
      </c>
      <c r="H967" s="193"/>
      <c r="I967" s="98"/>
      <c r="J967" s="98"/>
      <c r="K967" s="98"/>
      <c r="L967" s="98"/>
      <c r="M967" s="98"/>
      <c r="N967" s="98"/>
      <c r="O967" s="98"/>
    </row>
    <row r="968" spans="1:15" ht="15" customHeight="1">
      <c r="A968" s="39"/>
      <c r="B968" s="41"/>
      <c r="C968" s="48"/>
      <c r="D968" s="307"/>
      <c r="E968" s="295"/>
      <c r="F968" s="98"/>
      <c r="G968" s="193"/>
      <c r="H968" s="193"/>
      <c r="I968" s="98"/>
      <c r="J968" s="98"/>
      <c r="K968" s="98"/>
      <c r="L968" s="98"/>
      <c r="M968" s="98"/>
      <c r="N968" s="98"/>
      <c r="O968" s="98"/>
    </row>
    <row r="969" spans="1:15" ht="15" customHeight="1">
      <c r="A969" s="53"/>
      <c r="B969" s="54"/>
      <c r="C969" s="54"/>
      <c r="D969" s="56"/>
      <c r="E969" s="57">
        <f>SUM(E971:E974)</f>
        <v>4.853</v>
      </c>
      <c r="F969" s="98"/>
      <c r="G969" s="253"/>
      <c r="H969" s="253"/>
      <c r="I969" s="98"/>
      <c r="J969" s="98"/>
      <c r="K969" s="98"/>
      <c r="L969" s="98"/>
      <c r="M969" s="98"/>
      <c r="N969" s="98"/>
      <c r="O969" s="98"/>
    </row>
    <row r="970" spans="1:18" ht="15" customHeight="1">
      <c r="A970" s="336" t="s">
        <v>5</v>
      </c>
      <c r="B970" s="336"/>
      <c r="C970" s="70" t="s">
        <v>17</v>
      </c>
      <c r="D970" s="296" t="s">
        <v>18</v>
      </c>
      <c r="E970" s="39" t="s">
        <v>7</v>
      </c>
      <c r="F970" s="98"/>
      <c r="G970" s="93" t="str">
        <f>CONCATENATE("Misc. Iron Scrap, Lying at ",C971,". Quantity in MT - ")</f>
        <v>Misc. Iron Scrap, Lying at OL Barnala. Quantity in MT - </v>
      </c>
      <c r="H970" s="324" t="str">
        <f ca="1">CONCATENATE(G970,G971,(INDIRECT(I971)),(INDIRECT(J971)),(INDIRECT(K971)),(INDIRECT(L971)),(INDIRECT(M971)),(INDIRECT(N971)),(INDIRECT(O971)),(INDIRECT(P971)),(INDIRECT(Q971)),(INDIRECT(R971)),".")</f>
        <v>Misc. Iron Scrap, Lying at OL Barnala. Quantity in MT - Tubular Poles - 0.282, MS iron scrap - 3.855, Transformer body scrap - 0.708, G.I. Scrap - 0.008, .</v>
      </c>
      <c r="I970" s="98" t="str">
        <f aca="true" ca="1" t="array" ref="I970">CELL("address",INDEX(G970:G991,MATCH(TRUE,ISBLANK(G970:G991),0)))</f>
        <v>$G$975</v>
      </c>
      <c r="J970" s="98">
        <f aca="true" t="array" ref="J970">MATCH(TRUE,ISBLANK(G970:G991),0)</f>
        <v>6</v>
      </c>
      <c r="K970" s="98">
        <f>J970-3</f>
        <v>3</v>
      </c>
      <c r="L970" s="98"/>
      <c r="M970" s="98"/>
      <c r="N970" s="98"/>
      <c r="O970" s="98"/>
      <c r="P970" s="98"/>
      <c r="Q970" s="98"/>
      <c r="R970" s="98"/>
    </row>
    <row r="971" spans="1:18" ht="15" customHeight="1">
      <c r="A971" s="321" t="s">
        <v>176</v>
      </c>
      <c r="B971" s="321"/>
      <c r="C971" s="330" t="s">
        <v>190</v>
      </c>
      <c r="D971" s="42" t="s">
        <v>335</v>
      </c>
      <c r="E971" s="69">
        <v>0.282</v>
      </c>
      <c r="F971" s="98"/>
      <c r="G971" s="92" t="str">
        <f>CONCATENATE(D971," - ",E971,", ")</f>
        <v>Tubular Poles - 0.282, </v>
      </c>
      <c r="H971" s="324"/>
      <c r="I971" s="98" t="str">
        <f ca="1">IF(J970&gt;=3,(MID(I970,2,1)&amp;MID(I970,4,4)-K970),CELL("address",Z971))</f>
        <v>G972</v>
      </c>
      <c r="J971" s="98" t="str">
        <f ca="1">IF(J970&gt;=4,(MID(I971,1,1)&amp;MID(I971,2,4)+1),CELL("address",AA971))</f>
        <v>G973</v>
      </c>
      <c r="K971" s="98" t="str">
        <f ca="1">IF(J970&gt;=5,(MID(J971,1,1)&amp;MID(J971,2,4)+1),CELL("address",AB971))</f>
        <v>G974</v>
      </c>
      <c r="L971" s="98" t="str">
        <f ca="1">IF(J970&gt;=6,(MID(K971,1,1)&amp;MID(K971,2,4)+1),CELL("address",AC971))</f>
        <v>G975</v>
      </c>
      <c r="M971" s="98" t="str">
        <f ca="1">IF(J970&gt;=7,(MID(L971,1,1)&amp;MID(L971,2,4)+1),CELL("address",AD971))</f>
        <v>$AD$971</v>
      </c>
      <c r="N971" s="98" t="str">
        <f ca="1">IF(J970&gt;=8,(MID(M971,1,1)&amp;MID(M971,2,4)+1),CELL("address",AE971))</f>
        <v>$AE$971</v>
      </c>
      <c r="O971" s="98" t="str">
        <f ca="1">IF(J970&gt;=9,(MID(N971,1,1)&amp;MID(N971,2,4)+1),CELL("address",AF971))</f>
        <v>$AF$971</v>
      </c>
      <c r="P971" s="98" t="str">
        <f ca="1">IF(J970&gt;=10,(MID(O971,1,1)&amp;MID(O971,2,4)+1),CELL("address",AG971))</f>
        <v>$AG$971</v>
      </c>
      <c r="Q971" s="98" t="str">
        <f ca="1">IF(J970&gt;=11,(MID(P971,1,1)&amp;MID(P971,2,4)+1),CELL("address",AH971))</f>
        <v>$AH$971</v>
      </c>
      <c r="R971" s="98" t="str">
        <f ca="1">IF(J970&gt;=12,(MID(Q971,1,1)&amp;MID(Q971,2,4)+1),CELL("address",AI971))</f>
        <v>$AI$971</v>
      </c>
    </row>
    <row r="972" spans="1:15" ht="15" customHeight="1">
      <c r="A972" s="321"/>
      <c r="B972" s="321"/>
      <c r="C972" s="330"/>
      <c r="D972" s="42" t="s">
        <v>29</v>
      </c>
      <c r="E972" s="58">
        <v>3.855</v>
      </c>
      <c r="F972" s="98"/>
      <c r="G972" s="92" t="str">
        <f>CONCATENATE(D972," - ",E972,", ")</f>
        <v>MS iron scrap - 3.855, </v>
      </c>
      <c r="H972" s="253"/>
      <c r="I972" s="98"/>
      <c r="J972" s="98"/>
      <c r="K972" s="98"/>
      <c r="L972" s="98"/>
      <c r="M972" s="98"/>
      <c r="N972" s="98"/>
      <c r="O972" s="98"/>
    </row>
    <row r="973" spans="1:15" ht="15" customHeight="1">
      <c r="A973" s="321"/>
      <c r="B973" s="321"/>
      <c r="C973" s="330"/>
      <c r="D973" s="81" t="s">
        <v>60</v>
      </c>
      <c r="E973" s="58">
        <v>0.708</v>
      </c>
      <c r="F973" s="98"/>
      <c r="G973" s="92" t="str">
        <f>CONCATENATE(D973," - ",E973,", ")</f>
        <v>Transformer body scrap - 0.708, </v>
      </c>
      <c r="H973" s="253"/>
      <c r="I973" s="98"/>
      <c r="J973" s="98"/>
      <c r="K973" s="98"/>
      <c r="L973" s="98"/>
      <c r="M973" s="98"/>
      <c r="N973" s="98"/>
      <c r="O973" s="98"/>
    </row>
    <row r="974" spans="1:15" ht="15" customHeight="1">
      <c r="A974" s="321"/>
      <c r="B974" s="321"/>
      <c r="C974" s="330"/>
      <c r="D974" s="81" t="s">
        <v>198</v>
      </c>
      <c r="E974" s="58">
        <v>0.008</v>
      </c>
      <c r="F974" s="186"/>
      <c r="G974" s="92" t="str">
        <f>CONCATENATE(D974," - ",E974,", ")</f>
        <v>G.I. Scrap - 0.008, </v>
      </c>
      <c r="H974" s="253"/>
      <c r="I974" s="98"/>
      <c r="J974" s="98"/>
      <c r="K974" s="98"/>
      <c r="L974" s="98"/>
      <c r="M974" s="98"/>
      <c r="N974" s="98"/>
      <c r="O974" s="98"/>
    </row>
    <row r="975" spans="1:15" ht="15" customHeight="1">
      <c r="A975" s="39"/>
      <c r="B975" s="41"/>
      <c r="C975" s="48"/>
      <c r="D975" s="307"/>
      <c r="E975" s="295"/>
      <c r="F975" s="98"/>
      <c r="G975" s="253"/>
      <c r="H975" s="253"/>
      <c r="I975" s="98"/>
      <c r="J975" s="98"/>
      <c r="K975" s="98"/>
      <c r="L975" s="98"/>
      <c r="M975" s="98"/>
      <c r="N975" s="98"/>
      <c r="O975" s="98"/>
    </row>
    <row r="976" spans="1:15" ht="15" customHeight="1">
      <c r="A976" s="53"/>
      <c r="B976" s="54"/>
      <c r="C976" s="54"/>
      <c r="D976" s="56"/>
      <c r="E976" s="57">
        <f>SUM(E978:E982)</f>
        <v>13.434</v>
      </c>
      <c r="F976" s="98"/>
      <c r="G976" s="253"/>
      <c r="H976" s="253"/>
      <c r="I976" s="98"/>
      <c r="J976" s="98"/>
      <c r="K976" s="98"/>
      <c r="L976" s="98"/>
      <c r="M976" s="98"/>
      <c r="N976" s="98"/>
      <c r="O976" s="98"/>
    </row>
    <row r="977" spans="1:18" ht="15" customHeight="1">
      <c r="A977" s="336" t="s">
        <v>5</v>
      </c>
      <c r="B977" s="336"/>
      <c r="C977" s="70" t="s">
        <v>17</v>
      </c>
      <c r="D977" s="296" t="s">
        <v>18</v>
      </c>
      <c r="E977" s="39" t="s">
        <v>7</v>
      </c>
      <c r="F977" s="98"/>
      <c r="G977" s="93" t="str">
        <f>CONCATENATE("Misc. Iron Scrap, Lying at ",C978,". Quantity in MT - ")</f>
        <v>Misc. Iron Scrap, Lying at CS Mohali. Quantity in MT - </v>
      </c>
      <c r="H977" s="324" t="str">
        <f ca="1">CONCATENATE(G977,G978,(INDIRECT(I978)),(INDIRECT(J978)),(INDIRECT(K978)),(INDIRECT(L978)),(INDIRECT(M978)),(INDIRECT(N978)),(INDIRECT(O978)),(INDIRECT(P978)),(INDIRECT(Q978)),(INDIRECT(R978)),".")</f>
        <v>Misc. Iron Scrap, Lying at CS Mohali. Quantity in MT - Piller box scrap - 0.095, MS iron scrap - 7.271, MS Rail scrap - 0.18, Transformer body scrap - 5.477, G.I. Scrap - 0.411, .</v>
      </c>
      <c r="I977" s="98" t="str">
        <f aca="true" ca="1" t="array" ref="I977">CELL("address",INDEX(G977:G998,MATCH(TRUE,ISBLANK(G977:G998),0)))</f>
        <v>$G$983</v>
      </c>
      <c r="J977" s="98">
        <f aca="true" t="array" ref="J977">MATCH(TRUE,ISBLANK(G977:G998),0)</f>
        <v>7</v>
      </c>
      <c r="K977" s="98">
        <f>J977-3</f>
        <v>4</v>
      </c>
      <c r="L977" s="98"/>
      <c r="M977" s="98"/>
      <c r="N977" s="98"/>
      <c r="O977" s="98"/>
      <c r="P977" s="98"/>
      <c r="Q977" s="98"/>
      <c r="R977" s="98"/>
    </row>
    <row r="978" spans="1:18" ht="15" customHeight="1">
      <c r="A978" s="321" t="s">
        <v>177</v>
      </c>
      <c r="B978" s="321"/>
      <c r="C978" s="330" t="s">
        <v>62</v>
      </c>
      <c r="D978" s="42" t="s">
        <v>340</v>
      </c>
      <c r="E978" s="69">
        <v>0.095</v>
      </c>
      <c r="F978" s="186"/>
      <c r="G978" s="92" t="str">
        <f>CONCATENATE(D978," - ",E978,", ")</f>
        <v>Piller box scrap - 0.095, </v>
      </c>
      <c r="H978" s="324"/>
      <c r="I978" s="98" t="str">
        <f ca="1">IF(J977&gt;=3,(MID(I977,2,1)&amp;MID(I977,4,4)-K977),CELL("address",Z978))</f>
        <v>G979</v>
      </c>
      <c r="J978" s="98" t="str">
        <f ca="1">IF(J977&gt;=4,(MID(I978,1,1)&amp;MID(I978,2,4)+1),CELL("address",AA978))</f>
        <v>G980</v>
      </c>
      <c r="K978" s="98" t="str">
        <f ca="1">IF(J977&gt;=5,(MID(J978,1,1)&amp;MID(J978,2,4)+1),CELL("address",AB978))</f>
        <v>G981</v>
      </c>
      <c r="L978" s="98" t="str">
        <f ca="1">IF(J977&gt;=6,(MID(K978,1,1)&amp;MID(K978,2,4)+1),CELL("address",AC978))</f>
        <v>G982</v>
      </c>
      <c r="M978" s="98" t="str">
        <f ca="1">IF(J977&gt;=7,(MID(L978,1,1)&amp;MID(L978,2,4)+1),CELL("address",AD978))</f>
        <v>G983</v>
      </c>
      <c r="N978" s="98" t="str">
        <f ca="1">IF(J977&gt;=8,(MID(M978,1,1)&amp;MID(M978,2,4)+1),CELL("address",AE978))</f>
        <v>$AE$978</v>
      </c>
      <c r="O978" s="98" t="str">
        <f ca="1">IF(J977&gt;=9,(MID(N978,1,1)&amp;MID(N978,2,4)+1),CELL("address",AF978))</f>
        <v>$AF$978</v>
      </c>
      <c r="P978" s="98" t="str">
        <f ca="1">IF(J977&gt;=10,(MID(O978,1,1)&amp;MID(O978,2,4)+1),CELL("address",AG978))</f>
        <v>$AG$978</v>
      </c>
      <c r="Q978" s="98" t="str">
        <f ca="1">IF(J977&gt;=11,(MID(P978,1,1)&amp;MID(P978,2,4)+1),CELL("address",AH978))</f>
        <v>$AH$978</v>
      </c>
      <c r="R978" s="98" t="str">
        <f ca="1">IF(J977&gt;=12,(MID(Q978,1,1)&amp;MID(Q978,2,4)+1),CELL("address",AI978))</f>
        <v>$AI$978</v>
      </c>
    </row>
    <row r="979" spans="1:15" ht="15" customHeight="1">
      <c r="A979" s="321"/>
      <c r="B979" s="321"/>
      <c r="C979" s="330"/>
      <c r="D979" s="268" t="s">
        <v>29</v>
      </c>
      <c r="E979" s="295">
        <v>7.271</v>
      </c>
      <c r="F979" s="186">
        <v>3.052</v>
      </c>
      <c r="G979" s="92" t="str">
        <f>CONCATENATE(D979," - ",E979,", ")</f>
        <v>MS iron scrap - 7.271, </v>
      </c>
      <c r="H979" s="253"/>
      <c r="I979" s="98"/>
      <c r="J979" s="98"/>
      <c r="K979" s="98"/>
      <c r="L979" s="98"/>
      <c r="M979" s="98"/>
      <c r="N979" s="98"/>
      <c r="O979" s="98"/>
    </row>
    <row r="980" spans="1:15" ht="15" customHeight="1">
      <c r="A980" s="321"/>
      <c r="B980" s="321"/>
      <c r="C980" s="330"/>
      <c r="D980" s="42" t="s">
        <v>61</v>
      </c>
      <c r="E980" s="58">
        <v>0.18</v>
      </c>
      <c r="F980" s="186"/>
      <c r="G980" s="92" t="str">
        <f>CONCATENATE(D980," - ",E980,", ")</f>
        <v>MS Rail scrap - 0.18, </v>
      </c>
      <c r="H980" s="253"/>
      <c r="I980" s="98"/>
      <c r="J980" s="98"/>
      <c r="K980" s="98"/>
      <c r="L980" s="98"/>
      <c r="M980" s="98"/>
      <c r="N980" s="98"/>
      <c r="O980" s="98"/>
    </row>
    <row r="981" spans="1:15" ht="15" customHeight="1">
      <c r="A981" s="321"/>
      <c r="B981" s="321"/>
      <c r="C981" s="330"/>
      <c r="D981" s="269" t="s">
        <v>60</v>
      </c>
      <c r="E981" s="295">
        <v>5.477</v>
      </c>
      <c r="F981" s="186">
        <v>1.852</v>
      </c>
      <c r="G981" s="92" t="str">
        <f>CONCATENATE(D981," - ",E981,", ")</f>
        <v>Transformer body scrap - 5.477, </v>
      </c>
      <c r="H981" s="253"/>
      <c r="I981" s="98"/>
      <c r="J981" s="98"/>
      <c r="K981" s="98"/>
      <c r="L981" s="98"/>
      <c r="M981" s="98"/>
      <c r="N981" s="98"/>
      <c r="O981" s="98"/>
    </row>
    <row r="982" spans="1:15" ht="15" customHeight="1">
      <c r="A982" s="321"/>
      <c r="B982" s="321"/>
      <c r="C982" s="330"/>
      <c r="D982" s="269" t="s">
        <v>198</v>
      </c>
      <c r="E982" s="295">
        <v>0.411</v>
      </c>
      <c r="F982" s="98">
        <v>0.16</v>
      </c>
      <c r="G982" s="92" t="str">
        <f>CONCATENATE(D982," - ",E982,", ")</f>
        <v>G.I. Scrap - 0.411, </v>
      </c>
      <c r="H982" s="253"/>
      <c r="I982" s="98"/>
      <c r="J982" s="98"/>
      <c r="K982" s="98"/>
      <c r="L982" s="98"/>
      <c r="M982" s="98"/>
      <c r="N982" s="98"/>
      <c r="O982" s="98"/>
    </row>
    <row r="983" spans="1:15" ht="15" customHeight="1">
      <c r="A983" s="39"/>
      <c r="B983" s="41"/>
      <c r="C983" s="48"/>
      <c r="D983" s="41"/>
      <c r="E983" s="58"/>
      <c r="F983" s="98"/>
      <c r="G983" s="253"/>
      <c r="H983" s="253"/>
      <c r="I983" s="98"/>
      <c r="J983" s="98"/>
      <c r="K983" s="98"/>
      <c r="L983" s="98"/>
      <c r="M983" s="98"/>
      <c r="N983" s="98"/>
      <c r="O983" s="98"/>
    </row>
    <row r="984" spans="1:15" ht="15" customHeight="1">
      <c r="A984" s="53"/>
      <c r="B984" s="54"/>
      <c r="C984" s="54"/>
      <c r="D984" s="56"/>
      <c r="E984" s="57">
        <f>SUM(E986:E995)</f>
        <v>18.672</v>
      </c>
      <c r="F984" s="98"/>
      <c r="G984" s="253"/>
      <c r="H984" s="253"/>
      <c r="I984" s="98"/>
      <c r="J984" s="98"/>
      <c r="K984" s="98"/>
      <c r="L984" s="98"/>
      <c r="M984" s="98"/>
      <c r="N984" s="98"/>
      <c r="O984" s="98"/>
    </row>
    <row r="985" spans="1:18" ht="15" customHeight="1">
      <c r="A985" s="336" t="s">
        <v>5</v>
      </c>
      <c r="B985" s="336"/>
      <c r="C985" s="70" t="s">
        <v>17</v>
      </c>
      <c r="D985" s="296" t="s">
        <v>18</v>
      </c>
      <c r="E985" s="39" t="s">
        <v>7</v>
      </c>
      <c r="F985" s="98"/>
      <c r="G985" s="93" t="str">
        <f>CONCATENATE("Misc. Iron Scrap, Lying at ",C986,". Quantity in MT - ")</f>
        <v>Misc. Iron Scrap, Lying at CS Patiala. Quantity in MT - </v>
      </c>
      <c r="H985" s="324" t="str">
        <f ca="1">CONCATENATE(G985,G986,(INDIRECT(I986)),(INDIRECT(J986)),(INDIRECT(K986)),(INDIRECT(L986)),(INDIRECT(M986)),(INDIRECT(N986)),(INDIRECT(O986)),(INDIRECT(P986)),(INDIRECT(Q986)),(INDIRECT(R986)),".")</f>
        <v>Misc. Iron Scrap, Lying at CS Patiala. Quantity in MT - Iron scrap of Bush fixings - 0.93, MS iron scrap - 9.884, MS Rail scrap - 2.717, M.S. Girder Scrap - 0.548, MS Nuts &amp; bolts scrap - 0.387, Cast Iron Scrap - 0.078, Transformer body scrap - 2.426, Teen Patra scrap - 1.379, G.I. scrap - 0.284, G.I. Wire/GSL scrap - 0.039, .</v>
      </c>
      <c r="I985" s="98" t="str">
        <f aca="true" ca="1" t="array" ref="I985">CELL("address",INDEX(G985:G1006,MATCH(TRUE,ISBLANK(G985:G1006),0)))</f>
        <v>$G$996</v>
      </c>
      <c r="J985" s="98">
        <f aca="true" t="array" ref="J985">MATCH(TRUE,ISBLANK(G985:G1006),0)</f>
        <v>12</v>
      </c>
      <c r="K985" s="98">
        <f>J985-3</f>
        <v>9</v>
      </c>
      <c r="L985" s="98"/>
      <c r="M985" s="98"/>
      <c r="N985" s="98"/>
      <c r="O985" s="98"/>
      <c r="P985" s="98"/>
      <c r="Q985" s="98"/>
      <c r="R985" s="98"/>
    </row>
    <row r="986" spans="1:18" ht="15" customHeight="1">
      <c r="A986" s="321" t="s">
        <v>302</v>
      </c>
      <c r="B986" s="321"/>
      <c r="C986" s="330" t="s">
        <v>52</v>
      </c>
      <c r="D986" s="42" t="s">
        <v>341</v>
      </c>
      <c r="E986" s="69">
        <v>0.93</v>
      </c>
      <c r="F986" s="186"/>
      <c r="G986" s="92" t="str">
        <f>CONCATENATE(D986," - ",E986,", ")</f>
        <v>Iron scrap of Bush fixings - 0.93, </v>
      </c>
      <c r="H986" s="324"/>
      <c r="I986" s="98" t="str">
        <f ca="1">IF(J985&gt;=3,(MID(I985,2,1)&amp;MID(I985,4,4)-K985),CELL("address",Z986))</f>
        <v>G987</v>
      </c>
      <c r="J986" s="98" t="str">
        <f ca="1">IF(J985&gt;=4,(MID(I986,1,1)&amp;MID(I986,2,4)+1),CELL("address",AA986))</f>
        <v>G988</v>
      </c>
      <c r="K986" s="98" t="str">
        <f ca="1">IF(J985&gt;=5,(MID(J986,1,1)&amp;MID(J986,2,4)+1),CELL("address",AB986))</f>
        <v>G989</v>
      </c>
      <c r="L986" s="98" t="str">
        <f ca="1">IF(J985&gt;=6,(MID(K986,1,1)&amp;MID(K986,2,4)+1),CELL("address",AC986))</f>
        <v>G990</v>
      </c>
      <c r="M986" s="98" t="str">
        <f ca="1">IF(J985&gt;=7,(MID(L986,1,1)&amp;MID(L986,2,4)+1),CELL("address",AD986))</f>
        <v>G991</v>
      </c>
      <c r="N986" s="98" t="str">
        <f ca="1">IF(J985&gt;=8,(MID(M986,1,1)&amp;MID(M986,2,4)+1),CELL("address",AE986))</f>
        <v>G992</v>
      </c>
      <c r="O986" s="98" t="str">
        <f ca="1">IF(J985&gt;=9,(MID(N986,1,1)&amp;MID(N986,2,4)+1),CELL("address",AF986))</f>
        <v>G993</v>
      </c>
      <c r="P986" s="98" t="str">
        <f ca="1">IF(J985&gt;=10,(MID(O986,1,1)&amp;MID(O986,2,4)+1),CELL("address",AG986))</f>
        <v>G994</v>
      </c>
      <c r="Q986" s="98" t="str">
        <f ca="1">IF(J985&gt;=11,(MID(P986,1,1)&amp;MID(P986,2,4)+1),CELL("address",AH986))</f>
        <v>G995</v>
      </c>
      <c r="R986" s="98" t="str">
        <f ca="1">IF(J985&gt;=12,(MID(Q986,1,1)&amp;MID(Q986,2,4)+1),CELL("address",AI986))</f>
        <v>G996</v>
      </c>
    </row>
    <row r="987" spans="1:15" ht="15" customHeight="1">
      <c r="A987" s="321"/>
      <c r="B987" s="321"/>
      <c r="C987" s="330"/>
      <c r="D987" s="268" t="s">
        <v>29</v>
      </c>
      <c r="E987" s="295">
        <v>9.884</v>
      </c>
      <c r="F987" s="186">
        <v>7.53</v>
      </c>
      <c r="G987" s="92" t="str">
        <f aca="true" t="shared" si="5" ref="G987:G995">CONCATENATE(D987," - ",E987,", ")</f>
        <v>MS iron scrap - 9.884, </v>
      </c>
      <c r="H987" s="253"/>
      <c r="I987" s="98"/>
      <c r="J987" s="98"/>
      <c r="K987" s="98"/>
      <c r="L987" s="98"/>
      <c r="M987" s="98"/>
      <c r="N987" s="98"/>
      <c r="O987" s="98"/>
    </row>
    <row r="988" spans="1:15" ht="15" customHeight="1">
      <c r="A988" s="321"/>
      <c r="B988" s="321"/>
      <c r="C988" s="330"/>
      <c r="D988" s="42" t="s">
        <v>61</v>
      </c>
      <c r="E988" s="58">
        <v>2.717</v>
      </c>
      <c r="F988" s="186"/>
      <c r="G988" s="92" t="str">
        <f t="shared" si="5"/>
        <v>MS Rail scrap - 2.717, </v>
      </c>
      <c r="H988" s="253"/>
      <c r="I988" s="98"/>
      <c r="J988" s="98"/>
      <c r="K988" s="98"/>
      <c r="L988" s="98"/>
      <c r="M988" s="98"/>
      <c r="N988" s="98"/>
      <c r="O988" s="98"/>
    </row>
    <row r="989" spans="1:15" ht="15" customHeight="1">
      <c r="A989" s="321"/>
      <c r="B989" s="321"/>
      <c r="C989" s="330"/>
      <c r="D989" s="269" t="s">
        <v>425</v>
      </c>
      <c r="E989" s="295">
        <v>0.548</v>
      </c>
      <c r="F989" s="186">
        <v>0.428</v>
      </c>
      <c r="G989" s="92" t="str">
        <f t="shared" si="5"/>
        <v>M.S. Girder Scrap - 0.548, </v>
      </c>
      <c r="H989" s="253"/>
      <c r="I989" s="98"/>
      <c r="J989" s="98"/>
      <c r="K989" s="98"/>
      <c r="L989" s="98"/>
      <c r="M989" s="98"/>
      <c r="N989" s="98"/>
      <c r="O989" s="98"/>
    </row>
    <row r="990" spans="1:15" ht="15" customHeight="1">
      <c r="A990" s="321"/>
      <c r="B990" s="321"/>
      <c r="C990" s="330"/>
      <c r="D990" s="269" t="s">
        <v>426</v>
      </c>
      <c r="E990" s="295">
        <v>0.387</v>
      </c>
      <c r="F990" s="186">
        <v>0.345</v>
      </c>
      <c r="G990" s="92" t="str">
        <f t="shared" si="5"/>
        <v>MS Nuts &amp; bolts scrap - 0.387, </v>
      </c>
      <c r="H990" s="253"/>
      <c r="I990" s="98"/>
      <c r="J990" s="98"/>
      <c r="K990" s="98"/>
      <c r="L990" s="98"/>
      <c r="M990" s="98"/>
      <c r="N990" s="98"/>
      <c r="O990" s="98"/>
    </row>
    <row r="991" spans="1:15" ht="15" customHeight="1">
      <c r="A991" s="321"/>
      <c r="B991" s="321"/>
      <c r="C991" s="330"/>
      <c r="D991" s="81" t="s">
        <v>427</v>
      </c>
      <c r="E991" s="58">
        <v>0.078</v>
      </c>
      <c r="F991" s="186"/>
      <c r="G991" s="92" t="str">
        <f t="shared" si="5"/>
        <v>Cast Iron Scrap - 0.078, </v>
      </c>
      <c r="H991" s="253"/>
      <c r="I991" s="98"/>
      <c r="J991" s="98"/>
      <c r="K991" s="98"/>
      <c r="L991" s="98"/>
      <c r="M991" s="98"/>
      <c r="N991" s="98"/>
      <c r="O991" s="98"/>
    </row>
    <row r="992" spans="1:15" ht="15" customHeight="1">
      <c r="A992" s="321"/>
      <c r="B992" s="321"/>
      <c r="C992" s="330"/>
      <c r="D992" s="269" t="s">
        <v>60</v>
      </c>
      <c r="E992" s="295">
        <v>2.426</v>
      </c>
      <c r="F992" s="186">
        <v>1.879</v>
      </c>
      <c r="G992" s="92" t="str">
        <f t="shared" si="5"/>
        <v>Transformer body scrap - 2.426, </v>
      </c>
      <c r="H992" s="253"/>
      <c r="I992" s="98"/>
      <c r="J992" s="98"/>
      <c r="K992" s="98"/>
      <c r="L992" s="98"/>
      <c r="M992" s="98"/>
      <c r="N992" s="98"/>
      <c r="O992" s="98"/>
    </row>
    <row r="993" spans="1:15" ht="15" customHeight="1">
      <c r="A993" s="321"/>
      <c r="B993" s="321"/>
      <c r="C993" s="330"/>
      <c r="D993" s="269" t="s">
        <v>64</v>
      </c>
      <c r="E993" s="295">
        <v>1.379</v>
      </c>
      <c r="F993" s="186">
        <v>1.09</v>
      </c>
      <c r="G993" s="92" t="str">
        <f t="shared" si="5"/>
        <v>Teen Patra scrap - 1.379, </v>
      </c>
      <c r="H993" s="253"/>
      <c r="I993" s="98"/>
      <c r="J993" s="98"/>
      <c r="K993" s="98"/>
      <c r="L993" s="98"/>
      <c r="M993" s="98"/>
      <c r="N993" s="98"/>
      <c r="O993" s="98"/>
    </row>
    <row r="994" spans="1:15" ht="15" customHeight="1">
      <c r="A994" s="321"/>
      <c r="B994" s="321"/>
      <c r="C994" s="330"/>
      <c r="D994" s="269" t="s">
        <v>193</v>
      </c>
      <c r="E994" s="295">
        <v>0.284</v>
      </c>
      <c r="F994" s="186">
        <v>0.226</v>
      </c>
      <c r="G994" s="92" t="str">
        <f t="shared" si="5"/>
        <v>G.I. scrap - 0.284, </v>
      </c>
      <c r="H994" s="253"/>
      <c r="I994" s="98"/>
      <c r="J994" s="98"/>
      <c r="K994" s="98"/>
      <c r="L994" s="98"/>
      <c r="M994" s="98"/>
      <c r="N994" s="98"/>
      <c r="O994" s="98"/>
    </row>
    <row r="995" spans="1:15" ht="15" customHeight="1">
      <c r="A995" s="321"/>
      <c r="B995" s="321"/>
      <c r="C995" s="330"/>
      <c r="D995" s="269" t="s">
        <v>382</v>
      </c>
      <c r="E995" s="295">
        <v>0.039</v>
      </c>
      <c r="F995" s="186">
        <v>0.019</v>
      </c>
      <c r="G995" s="92" t="str">
        <f t="shared" si="5"/>
        <v>G.I. Wire/GSL scrap - 0.039, </v>
      </c>
      <c r="H995" s="253"/>
      <c r="I995" s="98"/>
      <c r="J995" s="98"/>
      <c r="K995" s="98"/>
      <c r="L995" s="98"/>
      <c r="M995" s="98"/>
      <c r="N995" s="98"/>
      <c r="O995" s="98"/>
    </row>
    <row r="996" spans="1:15" ht="15" customHeight="1">
      <c r="A996" s="39"/>
      <c r="B996" s="42"/>
      <c r="C996" s="296"/>
      <c r="D996" s="81"/>
      <c r="E996" s="58"/>
      <c r="F996" s="98"/>
      <c r="G996" s="253"/>
      <c r="H996" s="253"/>
      <c r="I996" s="98"/>
      <c r="J996" s="98"/>
      <c r="K996" s="98"/>
      <c r="L996" s="98"/>
      <c r="M996" s="98"/>
      <c r="N996" s="98"/>
      <c r="O996" s="98"/>
    </row>
    <row r="997" spans="1:15" ht="15" customHeight="1">
      <c r="A997" s="332"/>
      <c r="B997" s="333"/>
      <c r="C997" s="40"/>
      <c r="D997" s="56"/>
      <c r="E997" s="52">
        <f>SUM(E999:E1002)</f>
        <v>13.951</v>
      </c>
      <c r="F997" s="98"/>
      <c r="G997" s="253"/>
      <c r="H997" s="253"/>
      <c r="I997" s="98"/>
      <c r="J997" s="98"/>
      <c r="K997" s="98"/>
      <c r="L997" s="98"/>
      <c r="M997" s="98"/>
      <c r="N997" s="98"/>
      <c r="O997" s="98"/>
    </row>
    <row r="998" spans="1:18" ht="15" customHeight="1">
      <c r="A998" s="321" t="s">
        <v>5</v>
      </c>
      <c r="B998" s="321"/>
      <c r="C998" s="40" t="s">
        <v>17</v>
      </c>
      <c r="D998" s="296" t="s">
        <v>18</v>
      </c>
      <c r="E998" s="39" t="s">
        <v>7</v>
      </c>
      <c r="F998" s="98"/>
      <c r="G998" s="93" t="str">
        <f>CONCATENATE("Misc. Iron Scrap, Lying at ",C999,". Quantity in MT - ")</f>
        <v>Misc. Iron Scrap, Lying at OL Malerkotla. Quantity in MT - </v>
      </c>
      <c r="H998" s="324" t="str">
        <f ca="1">CONCATENATE(G998,G999,(INDIRECT(I999)),(INDIRECT(J999)),(INDIRECT(K999)),(INDIRECT(L999)),(INDIRECT(M999)),(INDIRECT(N999)),(INDIRECT(O999)),(INDIRECT(P999)),(INDIRECT(Q999)),(INDIRECT(R999)),".")</f>
        <v>Misc. Iron Scrap, Lying at OL Malerkotla. Quantity in MT - MS iron scrap - 6.49, Transformer body scrap - 6.578, MS Rail scrap - 0.811, M.S. Nuts &amp; Bolts Scrap - 0.072, .</v>
      </c>
      <c r="I998" s="98" t="str">
        <f aca="true" ca="1" t="array" ref="I998">CELL("address",INDEX(G998:G1019,MATCH(TRUE,ISBLANK(G998:G1019),0)))</f>
        <v>$G$1003</v>
      </c>
      <c r="J998" s="98">
        <f aca="true" t="array" ref="J998">MATCH(TRUE,ISBLANK(G998:G1019),0)</f>
        <v>6</v>
      </c>
      <c r="K998" s="98">
        <f>J998-3</f>
        <v>3</v>
      </c>
      <c r="L998" s="98"/>
      <c r="M998" s="98"/>
      <c r="N998" s="98"/>
      <c r="O998" s="98"/>
      <c r="P998" s="98"/>
      <c r="Q998" s="98"/>
      <c r="R998" s="98"/>
    </row>
    <row r="999" spans="1:18" ht="15" customHeight="1">
      <c r="A999" s="321" t="s">
        <v>336</v>
      </c>
      <c r="B999" s="321"/>
      <c r="C999" s="330" t="s">
        <v>126</v>
      </c>
      <c r="D999" s="42" t="s">
        <v>29</v>
      </c>
      <c r="E999" s="69">
        <v>6.49</v>
      </c>
      <c r="F999" s="98"/>
      <c r="G999" s="92" t="str">
        <f>CONCATENATE(D999," - ",E999,", ")</f>
        <v>MS iron scrap - 6.49, </v>
      </c>
      <c r="H999" s="324"/>
      <c r="I999" s="98" t="str">
        <f ca="1">IF(J998&gt;=3,(MID(I998,2,1)&amp;MID(I998,4,4)-K998),CELL("address",Z999))</f>
        <v>G1000</v>
      </c>
      <c r="J999" s="98" t="str">
        <f ca="1">IF(J998&gt;=4,(MID(I999,1,1)&amp;MID(I999,2,4)+1),CELL("address",AA999))</f>
        <v>G1001</v>
      </c>
      <c r="K999" s="98" t="str">
        <f ca="1">IF(J998&gt;=5,(MID(J999,1,1)&amp;MID(J999,2,4)+1),CELL("address",AB999))</f>
        <v>G1002</v>
      </c>
      <c r="L999" s="98" t="str">
        <f ca="1">IF(J998&gt;=6,(MID(K999,1,1)&amp;MID(K999,2,4)+1),CELL("address",AC999))</f>
        <v>G1003</v>
      </c>
      <c r="M999" s="98" t="str">
        <f ca="1">IF(J998&gt;=7,(MID(L999,1,1)&amp;MID(L999,2,4)+1),CELL("address",AD999))</f>
        <v>$AD$999</v>
      </c>
      <c r="N999" s="98" t="str">
        <f ca="1">IF(J998&gt;=8,(MID(M999,1,1)&amp;MID(M999,2,4)+1),CELL("address",AE999))</f>
        <v>$AE$999</v>
      </c>
      <c r="O999" s="98" t="str">
        <f ca="1">IF(J998&gt;=9,(MID(N999,1,1)&amp;MID(N999,2,4)+1),CELL("address",AF999))</f>
        <v>$AF$999</v>
      </c>
      <c r="P999" s="98" t="str">
        <f ca="1">IF(J998&gt;=10,(MID(O999,1,1)&amp;MID(O999,2,4)+1),CELL("address",AG999))</f>
        <v>$AG$999</v>
      </c>
      <c r="Q999" s="98" t="str">
        <f ca="1">IF(J998&gt;=11,(MID(P999,1,1)&amp;MID(P999,2,4)+1),CELL("address",AH999))</f>
        <v>$AH$999</v>
      </c>
      <c r="R999" s="98" t="str">
        <f ca="1">IF(J998&gt;=12,(MID(Q999,1,1)&amp;MID(Q999,2,4)+1),CELL("address",AI999))</f>
        <v>$AI$999</v>
      </c>
    </row>
    <row r="1000" spans="1:15" ht="15" customHeight="1">
      <c r="A1000" s="321"/>
      <c r="B1000" s="321"/>
      <c r="C1000" s="330"/>
      <c r="D1000" s="81" t="s">
        <v>60</v>
      </c>
      <c r="E1000" s="69">
        <v>6.578</v>
      </c>
      <c r="F1000" s="98"/>
      <c r="G1000" s="92" t="str">
        <f>CONCATENATE(D1000," - ",E1000,", ")</f>
        <v>Transformer body scrap - 6.578, </v>
      </c>
      <c r="H1000" s="253"/>
      <c r="I1000" s="98"/>
      <c r="J1000" s="98"/>
      <c r="K1000" s="98"/>
      <c r="L1000" s="98"/>
      <c r="M1000" s="98"/>
      <c r="N1000" s="98"/>
      <c r="O1000" s="98"/>
    </row>
    <row r="1001" spans="1:15" ht="15" customHeight="1">
      <c r="A1001" s="321"/>
      <c r="B1001" s="321"/>
      <c r="C1001" s="330"/>
      <c r="D1001" s="42" t="s">
        <v>61</v>
      </c>
      <c r="E1001" s="58">
        <v>0.811</v>
      </c>
      <c r="F1001" s="98"/>
      <c r="G1001" s="92" t="str">
        <f>CONCATENATE(D1001," - ",E1001,", ")</f>
        <v>MS Rail scrap - 0.811, </v>
      </c>
      <c r="H1001" s="253"/>
      <c r="I1001" s="98"/>
      <c r="J1001" s="98"/>
      <c r="K1001" s="98"/>
      <c r="L1001" s="98"/>
      <c r="M1001" s="98"/>
      <c r="N1001" s="98"/>
      <c r="O1001" s="98"/>
    </row>
    <row r="1002" spans="1:15" ht="15" customHeight="1">
      <c r="A1002" s="321"/>
      <c r="B1002" s="321"/>
      <c r="C1002" s="330"/>
      <c r="D1002" s="81" t="s">
        <v>199</v>
      </c>
      <c r="E1002" s="58">
        <v>0.072</v>
      </c>
      <c r="F1002" s="98"/>
      <c r="G1002" s="92" t="str">
        <f>CONCATENATE(D1002," - ",E1002,", ")</f>
        <v>M.S. Nuts &amp; Bolts Scrap - 0.072, </v>
      </c>
      <c r="H1002" s="253"/>
      <c r="I1002" s="98"/>
      <c r="J1002" s="98"/>
      <c r="K1002" s="98"/>
      <c r="L1002" s="98"/>
      <c r="M1002" s="98"/>
      <c r="N1002" s="98"/>
      <c r="O1002" s="98"/>
    </row>
    <row r="1003" spans="1:15" ht="15" customHeight="1">
      <c r="A1003" s="39"/>
      <c r="B1003" s="41"/>
      <c r="C1003" s="48"/>
      <c r="D1003" s="38"/>
      <c r="E1003" s="295"/>
      <c r="F1003" s="98"/>
      <c r="G1003" s="253"/>
      <c r="H1003" s="253"/>
      <c r="I1003" s="98"/>
      <c r="J1003" s="98"/>
      <c r="K1003" s="98"/>
      <c r="L1003" s="98"/>
      <c r="M1003" s="98"/>
      <c r="N1003" s="98"/>
      <c r="O1003" s="98"/>
    </row>
    <row r="1004" spans="1:15" ht="15" customHeight="1">
      <c r="A1004" s="53"/>
      <c r="B1004" s="54"/>
      <c r="C1004" s="54"/>
      <c r="D1004" s="55"/>
      <c r="E1004" s="159">
        <f>SUM(E1006:E1011)</f>
        <v>6.819</v>
      </c>
      <c r="F1004" s="98"/>
      <c r="G1004" s="253"/>
      <c r="H1004" s="253"/>
      <c r="I1004" s="98"/>
      <c r="J1004" s="98"/>
      <c r="K1004" s="98"/>
      <c r="L1004" s="98"/>
      <c r="M1004" s="98"/>
      <c r="N1004" s="98"/>
      <c r="O1004" s="98"/>
    </row>
    <row r="1005" spans="1:18" ht="15" customHeight="1">
      <c r="A1005" s="321" t="s">
        <v>5</v>
      </c>
      <c r="B1005" s="321"/>
      <c r="C1005" s="40" t="s">
        <v>17</v>
      </c>
      <c r="D1005" s="296" t="s">
        <v>18</v>
      </c>
      <c r="E1005" s="39" t="s">
        <v>7</v>
      </c>
      <c r="F1005" s="98"/>
      <c r="G1005" s="93" t="str">
        <f>CONCATENATE("Misc. Iron Scrap, Lying at ",C1006,". Quantity in MT - ")</f>
        <v>Misc. Iron Scrap, Lying at CS Malout. Quantity in MT - </v>
      </c>
      <c r="H1005" s="324" t="str">
        <f ca="1">CONCATENATE(G1005,G1006,(INDIRECT(I1006)),(INDIRECT(J1006)),(INDIRECT(K1006)),(INDIRECT(L1006)),(INDIRECT(M1006)),(INDIRECT(N1006)),(INDIRECT(O1006)),(INDIRECT(P1006)),(INDIRECT(Q1006)),(INDIRECT(R1006)),".")</f>
        <v>Misc. Iron Scrap, Lying at CS Malout. Quantity in MT - MS iron scrap - 6.581, M.S. Nuts &amp; Bolts Scrap - 0.025, G.I. Scrap - 0.047, G.I. Wire/GSL scrap - 0.04, Transformer body scrap - 0.1, G.I. Pipe scrap - 0.026, .</v>
      </c>
      <c r="I1005" s="98" t="str">
        <f aca="true" ca="1" t="array" ref="I1005">CELL("address",INDEX(G1005:G1026,MATCH(TRUE,ISBLANK(G1005:G1026),0)))</f>
        <v>$G$1012</v>
      </c>
      <c r="J1005" s="98">
        <f aca="true" t="array" ref="J1005">MATCH(TRUE,ISBLANK(G1005:G1026),0)</f>
        <v>8</v>
      </c>
      <c r="K1005" s="98">
        <f>J1005-3</f>
        <v>5</v>
      </c>
      <c r="L1005" s="98"/>
      <c r="M1005" s="98"/>
      <c r="N1005" s="98"/>
      <c r="O1005" s="98"/>
      <c r="P1005" s="98"/>
      <c r="Q1005" s="98"/>
      <c r="R1005" s="98"/>
    </row>
    <row r="1006" spans="1:18" ht="15" customHeight="1">
      <c r="A1006" s="321" t="s">
        <v>192</v>
      </c>
      <c r="B1006" s="321"/>
      <c r="C1006" s="330" t="s">
        <v>95</v>
      </c>
      <c r="D1006" s="268" t="s">
        <v>29</v>
      </c>
      <c r="E1006" s="304">
        <v>6.581</v>
      </c>
      <c r="F1006" s="98">
        <v>4.729</v>
      </c>
      <c r="G1006" s="92" t="str">
        <f aca="true" t="shared" si="6" ref="G1006:G1011">CONCATENATE(D1006," - ",E1006,", ")</f>
        <v>MS iron scrap - 6.581, </v>
      </c>
      <c r="H1006" s="324"/>
      <c r="I1006" s="98" t="str">
        <f ca="1">IF(J1005&gt;=3,(MID(I1005,2,1)&amp;MID(I1005,4,4)-K1005),CELL("address",Z1006))</f>
        <v>G1007</v>
      </c>
      <c r="J1006" s="98" t="str">
        <f ca="1">IF(J1005&gt;=4,(MID(I1006,1,1)&amp;MID(I1006,2,4)+1),CELL("address",AA1006))</f>
        <v>G1008</v>
      </c>
      <c r="K1006" s="98" t="str">
        <f ca="1">IF(J1005&gt;=5,(MID(J1006,1,1)&amp;MID(J1006,2,4)+1),CELL("address",AB1006))</f>
        <v>G1009</v>
      </c>
      <c r="L1006" s="98" t="str">
        <f ca="1">IF(J1005&gt;=6,(MID(K1006,1,1)&amp;MID(K1006,2,4)+1),CELL("address",AC1006))</f>
        <v>G1010</v>
      </c>
      <c r="M1006" s="98" t="str">
        <f ca="1">IF(J1005&gt;=7,(MID(L1006,1,1)&amp;MID(L1006,2,4)+1),CELL("address",AD1006))</f>
        <v>G1011</v>
      </c>
      <c r="N1006" s="98" t="str">
        <f ca="1">IF(J1005&gt;=8,(MID(M1006,1,1)&amp;MID(M1006,2,4)+1),CELL("address",AE1006))</f>
        <v>G1012</v>
      </c>
      <c r="O1006" s="98" t="str">
        <f ca="1">IF(J1005&gt;=9,(MID(N1006,1,1)&amp;MID(N1006,2,4)+1),CELL("address",AF1006))</f>
        <v>$AF$1006</v>
      </c>
      <c r="P1006" s="98" t="str">
        <f ca="1">IF(J1005&gt;=10,(MID(O1006,1,1)&amp;MID(O1006,2,4)+1),CELL("address",AG1006))</f>
        <v>$AG$1006</v>
      </c>
      <c r="Q1006" s="98" t="str">
        <f ca="1">IF(J1005&gt;=11,(MID(P1006,1,1)&amp;MID(P1006,2,4)+1),CELL("address",AH1006))</f>
        <v>$AH$1006</v>
      </c>
      <c r="R1006" s="98" t="str">
        <f ca="1">IF(J1005&gt;=12,(MID(Q1006,1,1)&amp;MID(Q1006,2,4)+1),CELL("address",AI1006))</f>
        <v>$AI$1006</v>
      </c>
    </row>
    <row r="1007" spans="1:15" ht="15" customHeight="1">
      <c r="A1007" s="321"/>
      <c r="B1007" s="321"/>
      <c r="C1007" s="330"/>
      <c r="D1007" s="81" t="s">
        <v>199</v>
      </c>
      <c r="E1007" s="69">
        <v>0.025</v>
      </c>
      <c r="F1007" s="98"/>
      <c r="G1007" s="92" t="str">
        <f t="shared" si="6"/>
        <v>M.S. Nuts &amp; Bolts Scrap - 0.025, </v>
      </c>
      <c r="H1007" s="253"/>
      <c r="I1007" s="98"/>
      <c r="J1007" s="98"/>
      <c r="K1007" s="98"/>
      <c r="L1007" s="98"/>
      <c r="M1007" s="98"/>
      <c r="N1007" s="98"/>
      <c r="O1007" s="98"/>
    </row>
    <row r="1008" spans="1:15" ht="15" customHeight="1">
      <c r="A1008" s="321"/>
      <c r="B1008" s="321"/>
      <c r="C1008" s="330"/>
      <c r="D1008" s="269" t="s">
        <v>198</v>
      </c>
      <c r="E1008" s="295">
        <v>0.047</v>
      </c>
      <c r="F1008" s="98">
        <v>0.027</v>
      </c>
      <c r="G1008" s="92" t="str">
        <f t="shared" si="6"/>
        <v>G.I. Scrap - 0.047, </v>
      </c>
      <c r="H1008" s="253"/>
      <c r="I1008" s="98"/>
      <c r="J1008" s="98"/>
      <c r="K1008" s="98"/>
      <c r="L1008" s="98"/>
      <c r="M1008" s="98"/>
      <c r="N1008" s="98"/>
      <c r="O1008" s="98"/>
    </row>
    <row r="1009" spans="1:15" ht="15" customHeight="1">
      <c r="A1009" s="321"/>
      <c r="B1009" s="321"/>
      <c r="C1009" s="330"/>
      <c r="D1009" s="269" t="s">
        <v>382</v>
      </c>
      <c r="E1009" s="295">
        <v>0.04</v>
      </c>
      <c r="F1009" s="98">
        <v>0.029</v>
      </c>
      <c r="G1009" s="92" t="str">
        <f t="shared" si="6"/>
        <v>G.I. Wire/GSL scrap - 0.04, </v>
      </c>
      <c r="H1009" s="253"/>
      <c r="I1009" s="98"/>
      <c r="J1009" s="98"/>
      <c r="K1009" s="98"/>
      <c r="L1009" s="98"/>
      <c r="M1009" s="98"/>
      <c r="N1009" s="98"/>
      <c r="O1009" s="98"/>
    </row>
    <row r="1010" spans="1:15" ht="15" customHeight="1">
      <c r="A1010" s="321"/>
      <c r="B1010" s="321"/>
      <c r="C1010" s="330"/>
      <c r="D1010" s="269" t="s">
        <v>60</v>
      </c>
      <c r="E1010" s="295">
        <v>0.1</v>
      </c>
      <c r="F1010" s="186" t="s">
        <v>711</v>
      </c>
      <c r="G1010" s="92" t="str">
        <f t="shared" si="6"/>
        <v>Transformer body scrap - 0.1, </v>
      </c>
      <c r="H1010" s="253"/>
      <c r="I1010" s="98"/>
      <c r="J1010" s="98"/>
      <c r="K1010" s="98"/>
      <c r="L1010" s="98"/>
      <c r="M1010" s="98"/>
      <c r="N1010" s="98"/>
      <c r="O1010" s="98"/>
    </row>
    <row r="1011" spans="1:15" ht="15" customHeight="1">
      <c r="A1011" s="321"/>
      <c r="B1011" s="321"/>
      <c r="C1011" s="330"/>
      <c r="D1011" s="34" t="s">
        <v>770</v>
      </c>
      <c r="E1011" s="295">
        <v>0.026</v>
      </c>
      <c r="F1011" s="186" t="s">
        <v>711</v>
      </c>
      <c r="G1011" s="193" t="str">
        <f t="shared" si="6"/>
        <v>G.I. Pipe scrap - 0.026, </v>
      </c>
      <c r="H1011" s="253"/>
      <c r="I1011" s="98"/>
      <c r="J1011" s="98"/>
      <c r="K1011" s="98"/>
      <c r="L1011" s="98"/>
      <c r="M1011" s="98"/>
      <c r="N1011" s="98"/>
      <c r="O1011" s="98"/>
    </row>
    <row r="1012" spans="1:15" ht="15" customHeight="1">
      <c r="A1012" s="39"/>
      <c r="B1012" s="41"/>
      <c r="C1012" s="48"/>
      <c r="D1012" s="38"/>
      <c r="E1012" s="295"/>
      <c r="F1012" s="98"/>
      <c r="G1012" s="253"/>
      <c r="H1012" s="253"/>
      <c r="I1012" s="98"/>
      <c r="J1012" s="98"/>
      <c r="K1012" s="98"/>
      <c r="L1012" s="98"/>
      <c r="M1012" s="98"/>
      <c r="N1012" s="98"/>
      <c r="O1012" s="98"/>
    </row>
    <row r="1013" spans="1:15" ht="15" customHeight="1">
      <c r="A1013" s="53"/>
      <c r="B1013" s="54"/>
      <c r="C1013" s="54"/>
      <c r="D1013" s="55"/>
      <c r="E1013" s="159">
        <f>SUM(E1015:E1018)</f>
        <v>7.268</v>
      </c>
      <c r="F1013" s="98"/>
      <c r="G1013" s="253"/>
      <c r="H1013" s="253"/>
      <c r="I1013" s="98"/>
      <c r="J1013" s="98"/>
      <c r="K1013" s="98"/>
      <c r="L1013" s="98"/>
      <c r="M1013" s="98"/>
      <c r="N1013" s="98"/>
      <c r="O1013" s="98"/>
    </row>
    <row r="1014" spans="1:18" ht="15" customHeight="1">
      <c r="A1014" s="321" t="s">
        <v>5</v>
      </c>
      <c r="B1014" s="321"/>
      <c r="C1014" s="40" t="s">
        <v>17</v>
      </c>
      <c r="D1014" s="296" t="s">
        <v>18</v>
      </c>
      <c r="E1014" s="39" t="s">
        <v>7</v>
      </c>
      <c r="F1014" s="98"/>
      <c r="G1014" s="93" t="str">
        <f>CONCATENATE("Misc. Iron Scrap, Lying at ",C1015,". Quantity in MT - ")</f>
        <v>Misc. Iron Scrap, Lying at CS Bathinda. Quantity in MT - </v>
      </c>
      <c r="H1014" s="324" t="str">
        <f ca="1">CONCATENATE(G1014,G1015,(INDIRECT(I1015)),(INDIRECT(J1015)),(INDIRECT(K1015)),(INDIRECT(L1015)),(INDIRECT(M1015)),(INDIRECT(N1015)),(INDIRECT(O1015)),(INDIRECT(P1015)),(INDIRECT(Q1015)),(INDIRECT(R1015)),".")</f>
        <v>Misc. Iron Scrap, Lying at CS Bathinda. Quantity in MT - MS iron scrap - 6.348, MS Rail scrap - 0.8, Teen Patra scrap - 0.035, G.I. Scrap - 0.085, .</v>
      </c>
      <c r="I1014" s="98" t="str">
        <f aca="true" ca="1" t="array" ref="I1014">CELL("address",INDEX(G1014:G1035,MATCH(TRUE,ISBLANK(G1014:G1035),0)))</f>
        <v>$G$1019</v>
      </c>
      <c r="J1014" s="98">
        <f aca="true" t="array" ref="J1014">MATCH(TRUE,ISBLANK(G1014:G1035),0)</f>
        <v>6</v>
      </c>
      <c r="K1014" s="98">
        <f>J1014-3</f>
        <v>3</v>
      </c>
      <c r="L1014" s="98"/>
      <c r="M1014" s="98"/>
      <c r="N1014" s="98"/>
      <c r="O1014" s="98"/>
      <c r="P1014" s="98"/>
      <c r="Q1014" s="98"/>
      <c r="R1014" s="98"/>
    </row>
    <row r="1015" spans="1:18" ht="15" customHeight="1">
      <c r="A1015" s="321" t="s">
        <v>381</v>
      </c>
      <c r="B1015" s="321"/>
      <c r="C1015" s="330" t="s">
        <v>63</v>
      </c>
      <c r="D1015" s="268" t="s">
        <v>29</v>
      </c>
      <c r="E1015" s="304">
        <v>6.348</v>
      </c>
      <c r="F1015" s="98">
        <v>3.518</v>
      </c>
      <c r="G1015" s="92" t="str">
        <f>CONCATENATE(D1015," - ",E1015,", ")</f>
        <v>MS iron scrap - 6.348, </v>
      </c>
      <c r="H1015" s="324"/>
      <c r="I1015" s="98" t="str">
        <f ca="1">IF(J1014&gt;=3,(MID(I1014,2,1)&amp;MID(I1014,4,4)-K1014),CELL("address",Z1015))</f>
        <v>G1016</v>
      </c>
      <c r="J1015" s="98" t="str">
        <f ca="1">IF(J1014&gt;=4,(MID(I1015,1,1)&amp;MID(I1015,2,4)+1),CELL("address",AA1015))</f>
        <v>G1017</v>
      </c>
      <c r="K1015" s="98" t="str">
        <f ca="1">IF(J1014&gt;=5,(MID(J1015,1,1)&amp;MID(J1015,2,4)+1),CELL("address",AB1015))</f>
        <v>G1018</v>
      </c>
      <c r="L1015" s="98" t="str">
        <f ca="1">IF(J1014&gt;=6,(MID(K1015,1,1)&amp;MID(K1015,2,4)+1),CELL("address",AC1015))</f>
        <v>G1019</v>
      </c>
      <c r="M1015" s="98" t="str">
        <f ca="1">IF(J1014&gt;=7,(MID(L1015,1,1)&amp;MID(L1015,2,4)+1),CELL("address",AD1015))</f>
        <v>$AD$1015</v>
      </c>
      <c r="N1015" s="98" t="str">
        <f ca="1">IF(J1014&gt;=8,(MID(M1015,1,1)&amp;MID(M1015,2,4)+1),CELL("address",AE1015))</f>
        <v>$AE$1015</v>
      </c>
      <c r="O1015" s="98" t="str">
        <f ca="1">IF(J1014&gt;=9,(MID(N1015,1,1)&amp;MID(N1015,2,4)+1),CELL("address",AF1015))</f>
        <v>$AF$1015</v>
      </c>
      <c r="P1015" s="98" t="str">
        <f ca="1">IF(J1014&gt;=10,(MID(O1015,1,1)&amp;MID(O1015,2,4)+1),CELL("address",AG1015))</f>
        <v>$AG$1015</v>
      </c>
      <c r="Q1015" s="98" t="str">
        <f ca="1">IF(J1014&gt;=11,(MID(P1015,1,1)&amp;MID(P1015,2,4)+1),CELL("address",AH1015))</f>
        <v>$AH$1015</v>
      </c>
      <c r="R1015" s="98" t="str">
        <f ca="1">IF(J1014&gt;=12,(MID(Q1015,1,1)&amp;MID(Q1015,2,4)+1),CELL("address",AI1015))</f>
        <v>$AI$1015</v>
      </c>
    </row>
    <row r="1016" spans="1:15" ht="15" customHeight="1">
      <c r="A1016" s="321"/>
      <c r="B1016" s="321"/>
      <c r="C1016" s="330"/>
      <c r="D1016" s="42" t="s">
        <v>61</v>
      </c>
      <c r="E1016" s="69">
        <v>0.8</v>
      </c>
      <c r="F1016" s="98"/>
      <c r="G1016" s="92" t="str">
        <f>CONCATENATE(D1016," - ",E1016,", ")</f>
        <v>MS Rail scrap - 0.8, </v>
      </c>
      <c r="H1016" s="253"/>
      <c r="I1016" s="98"/>
      <c r="J1016" s="98"/>
      <c r="K1016" s="98"/>
      <c r="L1016" s="98"/>
      <c r="M1016" s="98"/>
      <c r="N1016" s="98"/>
      <c r="O1016" s="98"/>
    </row>
    <row r="1017" spans="1:15" ht="15" customHeight="1">
      <c r="A1017" s="321"/>
      <c r="B1017" s="321"/>
      <c r="C1017" s="330"/>
      <c r="D1017" s="45" t="s">
        <v>64</v>
      </c>
      <c r="E1017" s="58">
        <v>0.035</v>
      </c>
      <c r="F1017" s="98"/>
      <c r="G1017" s="92" t="str">
        <f>CONCATENATE(D1017," - ",E1017,", ")</f>
        <v>Teen Patra scrap - 0.035, </v>
      </c>
      <c r="H1017" s="253"/>
      <c r="I1017" s="98"/>
      <c r="J1017" s="98"/>
      <c r="K1017" s="98"/>
      <c r="L1017" s="98"/>
      <c r="M1017" s="98"/>
      <c r="N1017" s="98"/>
      <c r="O1017" s="98"/>
    </row>
    <row r="1018" spans="1:15" ht="15" customHeight="1">
      <c r="A1018" s="321"/>
      <c r="B1018" s="321"/>
      <c r="C1018" s="330"/>
      <c r="D1018" s="269" t="s">
        <v>198</v>
      </c>
      <c r="E1018" s="295">
        <v>0.085</v>
      </c>
      <c r="F1018" s="98">
        <v>0.04</v>
      </c>
      <c r="G1018" s="92" t="str">
        <f>CONCATENATE(D1018," - ",E1018,", ")</f>
        <v>G.I. Scrap - 0.085, </v>
      </c>
      <c r="H1018" s="253"/>
      <c r="I1018" s="98"/>
      <c r="J1018" s="98"/>
      <c r="K1018" s="98"/>
      <c r="L1018" s="98"/>
      <c r="M1018" s="98"/>
      <c r="N1018" s="98"/>
      <c r="O1018" s="98"/>
    </row>
    <row r="1019" spans="1:15" ht="15" customHeight="1">
      <c r="A1019" s="39"/>
      <c r="B1019" s="41"/>
      <c r="C1019" s="48"/>
      <c r="D1019" s="38"/>
      <c r="E1019" s="295"/>
      <c r="F1019" s="98"/>
      <c r="G1019" s="253"/>
      <c r="H1019" s="253"/>
      <c r="I1019" s="98"/>
      <c r="J1019" s="98"/>
      <c r="K1019" s="98"/>
      <c r="L1019" s="98"/>
      <c r="M1019" s="98"/>
      <c r="N1019" s="98"/>
      <c r="O1019" s="98"/>
    </row>
    <row r="1020" spans="1:15" ht="15" customHeight="1">
      <c r="A1020" s="53"/>
      <c r="B1020" s="54"/>
      <c r="C1020" s="54"/>
      <c r="D1020" s="56"/>
      <c r="E1020" s="52">
        <f>SUM(E1022:E1024)</f>
        <v>3.3789999999999996</v>
      </c>
      <c r="F1020" s="98"/>
      <c r="G1020" s="253"/>
      <c r="H1020" s="253"/>
      <c r="I1020" s="98"/>
      <c r="J1020" s="98"/>
      <c r="K1020" s="98"/>
      <c r="L1020" s="98"/>
      <c r="M1020" s="98"/>
      <c r="N1020" s="98"/>
      <c r="O1020" s="98"/>
    </row>
    <row r="1021" spans="1:18" ht="15" customHeight="1">
      <c r="A1021" s="380" t="s">
        <v>5</v>
      </c>
      <c r="B1021" s="380"/>
      <c r="C1021" s="23" t="s">
        <v>17</v>
      </c>
      <c r="D1021" s="72" t="s">
        <v>18</v>
      </c>
      <c r="E1021" s="23" t="s">
        <v>7</v>
      </c>
      <c r="F1021" s="98"/>
      <c r="G1021" s="93" t="str">
        <f>CONCATENATE("Misc. Iron Scrap, Lying at ",C1022,". Quantity in MT - ")</f>
        <v>Misc. Iron Scrap, Lying at OL Moga. Quantity in MT - </v>
      </c>
      <c r="H1021" s="324" t="str">
        <f ca="1">CONCATENATE(G1021,G1022,(INDIRECT(I1022)),(INDIRECT(J1022)),(INDIRECT(K1022)),(INDIRECT(L1022)),(INDIRECT(M1022)),(INDIRECT(N1022)),(INDIRECT(O1022)),(INDIRECT(P1022)),(INDIRECT(Q1022)),(INDIRECT(R1022)),".")</f>
        <v>Misc. Iron Scrap, Lying at OL Moga. Quantity in MT - MS iron scrap - 2.461, Transformer body scrap - 0.405, MS Rail scrap - 0.513, .</v>
      </c>
      <c r="I1021" s="98" t="str">
        <f aca="true" ca="1" t="array" ref="I1021">CELL("address",INDEX(G1021:G1042,MATCH(TRUE,ISBLANK(G1021:G1042),0)))</f>
        <v>$G$1025</v>
      </c>
      <c r="J1021" s="98">
        <f aca="true" t="array" ref="J1021">MATCH(TRUE,ISBLANK(G1021:G1042),0)</f>
        <v>5</v>
      </c>
      <c r="K1021" s="98">
        <f>J1021-3</f>
        <v>2</v>
      </c>
      <c r="L1021" s="98"/>
      <c r="M1021" s="98"/>
      <c r="N1021" s="98"/>
      <c r="O1021" s="98"/>
      <c r="P1021" s="98"/>
      <c r="Q1021" s="98"/>
      <c r="R1021" s="98"/>
    </row>
    <row r="1022" spans="1:18" ht="15" customHeight="1">
      <c r="A1022" s="321" t="s">
        <v>392</v>
      </c>
      <c r="B1022" s="321"/>
      <c r="C1022" s="330" t="s">
        <v>268</v>
      </c>
      <c r="D1022" s="42" t="s">
        <v>29</v>
      </c>
      <c r="E1022" s="46">
        <v>2.461</v>
      </c>
      <c r="F1022" s="98"/>
      <c r="G1022" s="92" t="str">
        <f>CONCATENATE(D1022," - ",E1022,", ")</f>
        <v>MS iron scrap - 2.461, </v>
      </c>
      <c r="H1022" s="324"/>
      <c r="I1022" s="98" t="str">
        <f ca="1">IF(J1021&gt;=3,(MID(I1021,2,1)&amp;MID(I1021,4,4)-K1021),CELL("address",Z1022))</f>
        <v>G1023</v>
      </c>
      <c r="J1022" s="98" t="str">
        <f ca="1">IF(J1021&gt;=4,(MID(I1022,1,1)&amp;MID(I1022,2,4)+1),CELL("address",AA1022))</f>
        <v>G1024</v>
      </c>
      <c r="K1022" s="98" t="str">
        <f ca="1">IF(J1021&gt;=5,(MID(J1022,1,1)&amp;MID(J1022,2,4)+1),CELL("address",AB1022))</f>
        <v>G1025</v>
      </c>
      <c r="L1022" s="98" t="str">
        <f ca="1">IF(J1021&gt;=6,(MID(K1022,1,1)&amp;MID(K1022,2,4)+1),CELL("address",AC1022))</f>
        <v>$AC$1022</v>
      </c>
      <c r="M1022" s="98" t="str">
        <f ca="1">IF(J1021&gt;=7,(MID(L1022,1,1)&amp;MID(L1022,2,4)+1),CELL("address",AD1022))</f>
        <v>$AD$1022</v>
      </c>
      <c r="N1022" s="98" t="str">
        <f ca="1">IF(J1021&gt;=8,(MID(M1022,1,1)&amp;MID(M1022,2,4)+1),CELL("address",AE1022))</f>
        <v>$AE$1022</v>
      </c>
      <c r="O1022" s="98" t="str">
        <f ca="1">IF(J1021&gt;=9,(MID(N1022,1,1)&amp;MID(N1022,2,4)+1),CELL("address",AF1022))</f>
        <v>$AF$1022</v>
      </c>
      <c r="P1022" s="98" t="str">
        <f ca="1">IF(J1021&gt;=10,(MID(O1022,1,1)&amp;MID(O1022,2,4)+1),CELL("address",AG1022))</f>
        <v>$AG$1022</v>
      </c>
      <c r="Q1022" s="98" t="str">
        <f ca="1">IF(J1021&gt;=11,(MID(P1022,1,1)&amp;MID(P1022,2,4)+1),CELL("address",AH1022))</f>
        <v>$AH$1022</v>
      </c>
      <c r="R1022" s="98" t="str">
        <f ca="1">IF(J1021&gt;=12,(MID(Q1022,1,1)&amp;MID(Q1022,2,4)+1),CELL("address",AI1022))</f>
        <v>$AI$1022</v>
      </c>
    </row>
    <row r="1023" spans="1:15" ht="15" customHeight="1">
      <c r="A1023" s="321"/>
      <c r="B1023" s="321"/>
      <c r="C1023" s="330"/>
      <c r="D1023" s="81" t="s">
        <v>60</v>
      </c>
      <c r="E1023" s="46">
        <v>0.405</v>
      </c>
      <c r="F1023" s="186"/>
      <c r="G1023" s="92" t="str">
        <f>CONCATENATE(D1023," - ",E1023,", ")</f>
        <v>Transformer body scrap - 0.405, </v>
      </c>
      <c r="H1023" s="253"/>
      <c r="I1023" s="98"/>
      <c r="J1023" s="98"/>
      <c r="K1023" s="98"/>
      <c r="L1023" s="98"/>
      <c r="M1023" s="98"/>
      <c r="N1023" s="98"/>
      <c r="O1023" s="98"/>
    </row>
    <row r="1024" spans="1:15" ht="15" customHeight="1">
      <c r="A1024" s="321"/>
      <c r="B1024" s="321"/>
      <c r="C1024" s="330"/>
      <c r="D1024" s="42" t="s">
        <v>61</v>
      </c>
      <c r="E1024" s="58">
        <v>0.513</v>
      </c>
      <c r="F1024" s="98"/>
      <c r="G1024" s="92" t="str">
        <f>CONCATENATE(D1024," - ",E1024,", ")</f>
        <v>MS Rail scrap - 0.513, </v>
      </c>
      <c r="H1024" s="253"/>
      <c r="I1024" s="98"/>
      <c r="J1024" s="98"/>
      <c r="K1024" s="98"/>
      <c r="L1024" s="98"/>
      <c r="M1024" s="98"/>
      <c r="N1024" s="98"/>
      <c r="O1024" s="98"/>
    </row>
    <row r="1025" spans="1:15" ht="15" customHeight="1">
      <c r="A1025" s="39"/>
      <c r="B1025" s="41"/>
      <c r="C1025" s="48"/>
      <c r="D1025" s="38"/>
      <c r="E1025" s="295"/>
      <c r="F1025" s="98"/>
      <c r="G1025" s="253"/>
      <c r="H1025" s="253"/>
      <c r="I1025" s="98"/>
      <c r="J1025" s="98"/>
      <c r="K1025" s="98"/>
      <c r="L1025" s="98"/>
      <c r="M1025" s="98"/>
      <c r="N1025" s="98"/>
      <c r="O1025" s="98"/>
    </row>
    <row r="1026" spans="1:15" ht="15" customHeight="1">
      <c r="A1026" s="53"/>
      <c r="B1026" s="54"/>
      <c r="C1026" s="54"/>
      <c r="D1026" s="55"/>
      <c r="E1026" s="159">
        <f>SUM(E1028:E1031)</f>
        <v>4.445</v>
      </c>
      <c r="F1026" s="98"/>
      <c r="G1026" s="253"/>
      <c r="H1026" s="253"/>
      <c r="I1026" s="98"/>
      <c r="J1026" s="98"/>
      <c r="K1026" s="98"/>
      <c r="L1026" s="98"/>
      <c r="M1026" s="98"/>
      <c r="N1026" s="98"/>
      <c r="O1026" s="98"/>
    </row>
    <row r="1027" spans="1:18" ht="15" customHeight="1">
      <c r="A1027" s="321" t="s">
        <v>5</v>
      </c>
      <c r="B1027" s="321"/>
      <c r="C1027" s="40" t="s">
        <v>17</v>
      </c>
      <c r="D1027" s="296" t="s">
        <v>18</v>
      </c>
      <c r="E1027" s="39" t="s">
        <v>7</v>
      </c>
      <c r="F1027" s="98"/>
      <c r="G1027" s="93" t="str">
        <f>CONCATENATE("Misc. Iron Scrap, Lying at ",C1028,". Quantity in MT - ")</f>
        <v>Misc. Iron Scrap, Lying at OL Patran. Quantity in MT - </v>
      </c>
      <c r="H1027" s="324" t="str">
        <f ca="1">CONCATENATE(G1027,G1028,(INDIRECT(I1028)),(INDIRECT(J1028)),(INDIRECT(K1028)),(INDIRECT(L1028)),(INDIRECT(M1028)),(INDIRECT(N1028)),(INDIRECT(O1028)),(INDIRECT(P1028)),(INDIRECT(Q1028)),(INDIRECT(R1028)),".")</f>
        <v>Misc. Iron Scrap, Lying at OL Patran. Quantity in MT - MS iron scrap - 2.477, Teen Patra scrap - 1.122, Transformer body scrap - 0.84, G.I. Scrap - 0.006, .</v>
      </c>
      <c r="I1027" s="98" t="str">
        <f aca="true" ca="1" t="array" ref="I1027">CELL("address",INDEX(G1027:G1048,MATCH(TRUE,ISBLANK(G1027:G1048),0)))</f>
        <v>$G$1032</v>
      </c>
      <c r="J1027" s="98">
        <f aca="true" t="array" ref="J1027">MATCH(TRUE,ISBLANK(G1027:G1048),0)</f>
        <v>6</v>
      </c>
      <c r="K1027" s="98">
        <f>J1027-3</f>
        <v>3</v>
      </c>
      <c r="L1027" s="98"/>
      <c r="M1027" s="98"/>
      <c r="N1027" s="98"/>
      <c r="O1027" s="98"/>
      <c r="P1027" s="98"/>
      <c r="Q1027" s="98"/>
      <c r="R1027" s="98"/>
    </row>
    <row r="1028" spans="1:18" ht="15" customHeight="1">
      <c r="A1028" s="321" t="s">
        <v>393</v>
      </c>
      <c r="B1028" s="321"/>
      <c r="C1028" s="330" t="s">
        <v>102</v>
      </c>
      <c r="D1028" s="42" t="s">
        <v>29</v>
      </c>
      <c r="E1028" s="69">
        <v>2.477</v>
      </c>
      <c r="F1028" s="98"/>
      <c r="G1028" s="92" t="str">
        <f>CONCATENATE(D1028," - ",E1028,", ")</f>
        <v>MS iron scrap - 2.477, </v>
      </c>
      <c r="H1028" s="324"/>
      <c r="I1028" s="98" t="str">
        <f ca="1">IF(J1027&gt;=3,(MID(I1027,2,1)&amp;MID(I1027,4,4)-K1027),CELL("address",Z1028))</f>
        <v>G1029</v>
      </c>
      <c r="J1028" s="98" t="str">
        <f ca="1">IF(J1027&gt;=4,(MID(I1028,1,1)&amp;MID(I1028,2,4)+1),CELL("address",AA1028))</f>
        <v>G1030</v>
      </c>
      <c r="K1028" s="98" t="str">
        <f ca="1">IF(J1027&gt;=5,(MID(J1028,1,1)&amp;MID(J1028,2,4)+1),CELL("address",AB1028))</f>
        <v>G1031</v>
      </c>
      <c r="L1028" s="98" t="str">
        <f ca="1">IF(J1027&gt;=6,(MID(K1028,1,1)&amp;MID(K1028,2,4)+1),CELL("address",AC1028))</f>
        <v>G1032</v>
      </c>
      <c r="M1028" s="98" t="str">
        <f ca="1">IF(J1027&gt;=7,(MID(L1028,1,1)&amp;MID(L1028,2,4)+1),CELL("address",AD1028))</f>
        <v>$AD$1028</v>
      </c>
      <c r="N1028" s="98" t="str">
        <f ca="1">IF(J1027&gt;=8,(MID(M1028,1,1)&amp;MID(M1028,2,4)+1),CELL("address",AE1028))</f>
        <v>$AE$1028</v>
      </c>
      <c r="O1028" s="98" t="str">
        <f ca="1">IF(J1027&gt;=9,(MID(N1028,1,1)&amp;MID(N1028,2,4)+1),CELL("address",AF1028))</f>
        <v>$AF$1028</v>
      </c>
      <c r="P1028" s="98" t="str">
        <f ca="1">IF(J1027&gt;=10,(MID(O1028,1,1)&amp;MID(O1028,2,4)+1),CELL("address",AG1028))</f>
        <v>$AG$1028</v>
      </c>
      <c r="Q1028" s="98" t="str">
        <f ca="1">IF(J1027&gt;=11,(MID(P1028,1,1)&amp;MID(P1028,2,4)+1),CELL("address",AH1028))</f>
        <v>$AH$1028</v>
      </c>
      <c r="R1028" s="98" t="str">
        <f ca="1">IF(J1027&gt;=12,(MID(Q1028,1,1)&amp;MID(Q1028,2,4)+1),CELL("address",AI1028))</f>
        <v>$AI$1028</v>
      </c>
    </row>
    <row r="1029" spans="1:15" ht="15" customHeight="1">
      <c r="A1029" s="321"/>
      <c r="B1029" s="321"/>
      <c r="C1029" s="330"/>
      <c r="D1029" s="81" t="s">
        <v>64</v>
      </c>
      <c r="E1029" s="69">
        <v>1.122</v>
      </c>
      <c r="F1029" s="98"/>
      <c r="G1029" s="92" t="str">
        <f>CONCATENATE(D1029," - ",E1029,", ")</f>
        <v>Teen Patra scrap - 1.122, </v>
      </c>
      <c r="H1029" s="253"/>
      <c r="I1029" s="98"/>
      <c r="J1029" s="98"/>
      <c r="K1029" s="98"/>
      <c r="L1029" s="98"/>
      <c r="M1029" s="98"/>
      <c r="N1029" s="98"/>
      <c r="O1029" s="98"/>
    </row>
    <row r="1030" spans="1:15" ht="15" customHeight="1">
      <c r="A1030" s="321"/>
      <c r="B1030" s="321"/>
      <c r="C1030" s="330"/>
      <c r="D1030" s="81" t="s">
        <v>60</v>
      </c>
      <c r="E1030" s="58">
        <v>0.84</v>
      </c>
      <c r="F1030" s="186"/>
      <c r="G1030" s="92" t="str">
        <f>CONCATENATE(D1030," - ",E1030,", ")</f>
        <v>Transformer body scrap - 0.84, </v>
      </c>
      <c r="H1030" s="253"/>
      <c r="I1030" s="98"/>
      <c r="J1030" s="98"/>
      <c r="K1030" s="98"/>
      <c r="L1030" s="98"/>
      <c r="M1030" s="98"/>
      <c r="N1030" s="98"/>
      <c r="O1030" s="98"/>
    </row>
    <row r="1031" spans="1:15" ht="15" customHeight="1">
      <c r="A1031" s="321"/>
      <c r="B1031" s="321"/>
      <c r="C1031" s="330"/>
      <c r="D1031" s="81" t="s">
        <v>198</v>
      </c>
      <c r="E1031" s="58">
        <v>0.006</v>
      </c>
      <c r="F1031" s="186"/>
      <c r="G1031" s="92" t="str">
        <f>CONCATENATE(D1031," - ",E1031,", ")</f>
        <v>G.I. Scrap - 0.006, </v>
      </c>
      <c r="H1031" s="253"/>
      <c r="I1031" s="98"/>
      <c r="J1031" s="98"/>
      <c r="K1031" s="98"/>
      <c r="L1031" s="98"/>
      <c r="M1031" s="98"/>
      <c r="N1031" s="98"/>
      <c r="O1031" s="98"/>
    </row>
    <row r="1032" spans="1:15" ht="15" customHeight="1">
      <c r="A1032" s="39"/>
      <c r="B1032" s="41"/>
      <c r="C1032" s="48"/>
      <c r="D1032" s="182"/>
      <c r="E1032" s="58"/>
      <c r="F1032" s="98"/>
      <c r="G1032" s="253"/>
      <c r="H1032" s="253"/>
      <c r="I1032" s="98"/>
      <c r="J1032" s="98"/>
      <c r="K1032" s="98"/>
      <c r="L1032" s="98"/>
      <c r="M1032" s="98"/>
      <c r="N1032" s="98"/>
      <c r="O1032" s="98"/>
    </row>
    <row r="1033" spans="1:18" ht="15" customHeight="1">
      <c r="A1033" s="53"/>
      <c r="B1033" s="54"/>
      <c r="C1033" s="54"/>
      <c r="D1033" s="55"/>
      <c r="E1033" s="159">
        <f>SUM(E1035:E1039)</f>
        <v>10.693999999999999</v>
      </c>
      <c r="F1033" s="98"/>
      <c r="G1033" s="253"/>
      <c r="H1033" s="253"/>
      <c r="I1033" s="98"/>
      <c r="J1033" s="98"/>
      <c r="K1033" s="98"/>
      <c r="L1033" s="98"/>
      <c r="M1033" s="98"/>
      <c r="N1033" s="98"/>
      <c r="O1033" s="98"/>
      <c r="P1033" s="98"/>
      <c r="Q1033" s="98"/>
      <c r="R1033" s="98"/>
    </row>
    <row r="1034" spans="1:18" ht="15" customHeight="1">
      <c r="A1034" s="321" t="s">
        <v>5</v>
      </c>
      <c r="B1034" s="321"/>
      <c r="C1034" s="40" t="s">
        <v>17</v>
      </c>
      <c r="D1034" s="296" t="s">
        <v>18</v>
      </c>
      <c r="E1034" s="39" t="s">
        <v>7</v>
      </c>
      <c r="F1034" s="186"/>
      <c r="G1034" s="93" t="str">
        <f>CONCATENATE("Misc. Iron Scrap, Lying at ",C1035,". Quantity in MT - ")</f>
        <v>Misc. Iron Scrap, Lying at OL Ropar. Quantity in MT - </v>
      </c>
      <c r="H1034" s="324" t="str">
        <f ca="1">CONCATENATE(G1034,G1035,(INDIRECT(I1035)),(INDIRECT(J1035)),(INDIRECT(K1035)),(INDIRECT(L1035)),(INDIRECT(M1035)),(INDIRECT(N1035)),(INDIRECT(O1035)),(INDIRECT(P1035)),(INDIRECT(Q1035)),(INDIRECT(R1035)),".")</f>
        <v>Misc. Iron Scrap, Lying at OL Ropar. Quantity in MT - MS iron scrap - 4.833, MS Rail scrap - 1.715, Transformer body scrap - 3.862, G.I. Scrap - 0.219, Teen Patra scrap - 0.065, .</v>
      </c>
      <c r="I1034" s="98" t="str">
        <f aca="true" ca="1" t="array" ref="I1034">CELL("address",INDEX(G1034:G1055,MATCH(TRUE,ISBLANK(G1034:G1055),0)))</f>
        <v>$G$1040</v>
      </c>
      <c r="J1034" s="98">
        <f aca="true" t="array" ref="J1034">MATCH(TRUE,ISBLANK(G1034:G1055),0)</f>
        <v>7</v>
      </c>
      <c r="K1034" s="98">
        <f>J1034-3</f>
        <v>4</v>
      </c>
      <c r="L1034" s="98"/>
      <c r="M1034" s="98"/>
      <c r="N1034" s="98"/>
      <c r="O1034" s="98"/>
      <c r="P1034" s="98"/>
      <c r="Q1034" s="98"/>
      <c r="R1034" s="98"/>
    </row>
    <row r="1035" spans="1:18" ht="15" customHeight="1">
      <c r="A1035" s="321" t="s">
        <v>397</v>
      </c>
      <c r="B1035" s="321"/>
      <c r="C1035" s="330" t="s">
        <v>98</v>
      </c>
      <c r="D1035" s="268" t="s">
        <v>29</v>
      </c>
      <c r="E1035" s="304">
        <v>4.833</v>
      </c>
      <c r="F1035" s="186">
        <v>3.454</v>
      </c>
      <c r="G1035" s="92" t="str">
        <f>CONCATENATE(D1035," - ",E1035,", ")</f>
        <v>MS iron scrap - 4.833, </v>
      </c>
      <c r="H1035" s="324"/>
      <c r="I1035" s="98" t="str">
        <f ca="1">IF(J1034&gt;=3,(MID(I1034,2,1)&amp;MID(I1034,4,4)-K1034),CELL("address",Z1035))</f>
        <v>G1036</v>
      </c>
      <c r="J1035" s="98" t="str">
        <f ca="1">IF(J1034&gt;=4,(MID(I1035,1,1)&amp;MID(I1035,2,4)+1),CELL("address",AA1035))</f>
        <v>G1037</v>
      </c>
      <c r="K1035" s="98" t="str">
        <f ca="1">IF(J1034&gt;=5,(MID(J1035,1,1)&amp;MID(J1035,2,4)+1),CELL("address",AB1035))</f>
        <v>G1038</v>
      </c>
      <c r="L1035" s="98" t="str">
        <f ca="1">IF(J1034&gt;=6,(MID(K1035,1,1)&amp;MID(K1035,2,4)+1),CELL("address",AC1035))</f>
        <v>G1039</v>
      </c>
      <c r="M1035" s="98" t="str">
        <f ca="1">IF(J1034&gt;=7,(MID(L1035,1,1)&amp;MID(L1035,2,4)+1),CELL("address",AD1035))</f>
        <v>G1040</v>
      </c>
      <c r="N1035" s="98" t="str">
        <f ca="1">IF(J1034&gt;=8,(MID(M1035,1,1)&amp;MID(M1035,2,4)+1),CELL("address",AE1035))</f>
        <v>$AE$1035</v>
      </c>
      <c r="O1035" s="98" t="str">
        <f ca="1">IF(J1034&gt;=9,(MID(N1035,1,1)&amp;MID(N1035,2,4)+1),CELL("address",AF1035))</f>
        <v>$AF$1035</v>
      </c>
      <c r="P1035" s="98" t="str">
        <f ca="1">IF(J1034&gt;=10,(MID(O1035,1,1)&amp;MID(O1035,2,4)+1),CELL("address",AG1035))</f>
        <v>$AG$1035</v>
      </c>
      <c r="Q1035" s="98" t="str">
        <f ca="1">IF(J1034&gt;=11,(MID(P1035,1,1)&amp;MID(P1035,2,4)+1),CELL("address",AH1035))</f>
        <v>$AH$1035</v>
      </c>
      <c r="R1035" s="98" t="str">
        <f ca="1">IF(J1034&gt;=12,(MID(Q1035,1,1)&amp;MID(Q1035,2,4)+1),CELL("address",AI1035))</f>
        <v>$AI$1035</v>
      </c>
    </row>
    <row r="1036" spans="1:15" ht="15" customHeight="1">
      <c r="A1036" s="321"/>
      <c r="B1036" s="321"/>
      <c r="C1036" s="330"/>
      <c r="D1036" s="268" t="s">
        <v>61</v>
      </c>
      <c r="E1036" s="304">
        <v>1.715</v>
      </c>
      <c r="F1036" s="186">
        <v>1.085</v>
      </c>
      <c r="G1036" s="92" t="str">
        <f>CONCATENATE(D1036," - ",E1036,", ")</f>
        <v>MS Rail scrap - 1.715, </v>
      </c>
      <c r="H1036" s="253"/>
      <c r="I1036" s="98"/>
      <c r="J1036" s="98"/>
      <c r="K1036" s="98"/>
      <c r="L1036" s="98"/>
      <c r="M1036" s="98"/>
      <c r="N1036" s="98"/>
      <c r="O1036" s="98"/>
    </row>
    <row r="1037" spans="1:15" ht="15" customHeight="1">
      <c r="A1037" s="321"/>
      <c r="B1037" s="321"/>
      <c r="C1037" s="330"/>
      <c r="D1037" s="269" t="s">
        <v>60</v>
      </c>
      <c r="E1037" s="295">
        <v>3.862</v>
      </c>
      <c r="F1037" s="186">
        <v>2.468</v>
      </c>
      <c r="G1037" s="92" t="str">
        <f>CONCATENATE(D1037," - ",E1037,", ")</f>
        <v>Transformer body scrap - 3.862, </v>
      </c>
      <c r="H1037" s="253"/>
      <c r="I1037" s="98"/>
      <c r="J1037" s="98"/>
      <c r="K1037" s="98"/>
      <c r="L1037" s="98"/>
      <c r="M1037" s="98"/>
      <c r="N1037" s="98"/>
      <c r="O1037" s="98"/>
    </row>
    <row r="1038" spans="1:15" ht="15" customHeight="1">
      <c r="A1038" s="321"/>
      <c r="B1038" s="321"/>
      <c r="C1038" s="330"/>
      <c r="D1038" s="269" t="s">
        <v>198</v>
      </c>
      <c r="E1038" s="295">
        <v>0.219</v>
      </c>
      <c r="F1038" s="186">
        <v>0.167</v>
      </c>
      <c r="G1038" s="92" t="str">
        <f>CONCATENATE(D1038," - ",E1038,", ")</f>
        <v>G.I. Scrap - 0.219, </v>
      </c>
      <c r="H1038" s="253"/>
      <c r="I1038" s="98"/>
      <c r="J1038" s="98"/>
      <c r="K1038" s="98"/>
      <c r="L1038" s="98"/>
      <c r="M1038" s="98"/>
      <c r="N1038" s="98"/>
      <c r="O1038" s="98"/>
    </row>
    <row r="1039" spans="1:15" ht="15" customHeight="1">
      <c r="A1039" s="321"/>
      <c r="B1039" s="321"/>
      <c r="C1039" s="330"/>
      <c r="D1039" s="45" t="s">
        <v>64</v>
      </c>
      <c r="E1039" s="58">
        <v>0.065</v>
      </c>
      <c r="F1039" s="98"/>
      <c r="G1039" s="92" t="str">
        <f>CONCATENATE(D1039," - ",E1039,", ")</f>
        <v>Teen Patra scrap - 0.065, </v>
      </c>
      <c r="H1039" s="253"/>
      <c r="I1039" s="98"/>
      <c r="J1039" s="98"/>
      <c r="K1039" s="98"/>
      <c r="L1039" s="98"/>
      <c r="M1039" s="98"/>
      <c r="N1039" s="98"/>
      <c r="O1039" s="98"/>
    </row>
    <row r="1040" spans="1:15" ht="15" customHeight="1">
      <c r="A1040" s="39"/>
      <c r="B1040" s="41"/>
      <c r="C1040" s="48"/>
      <c r="D1040" s="38"/>
      <c r="E1040" s="295"/>
      <c r="G1040" s="253"/>
      <c r="H1040" s="253"/>
      <c r="I1040" s="98"/>
      <c r="J1040" s="98"/>
      <c r="K1040" s="98"/>
      <c r="L1040" s="98"/>
      <c r="M1040" s="98"/>
      <c r="N1040" s="98"/>
      <c r="O1040" s="98"/>
    </row>
    <row r="1041" spans="1:8" ht="18.75" customHeight="1">
      <c r="A1041" s="53"/>
      <c r="B1041" s="54"/>
      <c r="C1041" s="54"/>
      <c r="D1041" s="55"/>
      <c r="E1041" s="159">
        <f>SUM(E1043:E1047)</f>
        <v>8.918</v>
      </c>
      <c r="G1041" s="253"/>
      <c r="H1041" s="253"/>
    </row>
    <row r="1042" spans="1:18" ht="15" customHeight="1">
      <c r="A1042" s="321" t="s">
        <v>5</v>
      </c>
      <c r="B1042" s="321"/>
      <c r="C1042" s="40" t="s">
        <v>17</v>
      </c>
      <c r="D1042" s="296" t="s">
        <v>18</v>
      </c>
      <c r="E1042" s="39" t="s">
        <v>7</v>
      </c>
      <c r="G1042" s="93" t="str">
        <f>CONCATENATE("Misc. Iron Scrap, Lying at ",C1043,". Quantity in MT - ")</f>
        <v>Misc. Iron Scrap, Lying at OL Nabha. Quantity in MT - </v>
      </c>
      <c r="H1042" s="324" t="str">
        <f ca="1">CONCATENATE(G1042,G1043,(INDIRECT(I1043)),(INDIRECT(J1043)),(INDIRECT(K1043)),(INDIRECT(L1043)),(INDIRECT(M1043)),(INDIRECT(N1043)),(INDIRECT(O1043)),(INDIRECT(P1043)),(INDIRECT(Q1043)),(INDIRECT(R1043)),".")</f>
        <v>Misc. Iron Scrap, Lying at OL Nabha. Quantity in MT - MS iron scrap - 3.48, Transformer body scrap - 3.256, Lamination scrap - 1.016, Teen Patra scrap - 1.028, MS Rail scrap - 0.138, .</v>
      </c>
      <c r="I1042" s="98" t="str">
        <f aca="true" ca="1" t="array" ref="I1042">CELL("address",INDEX(G1042:G1063,MATCH(TRUE,ISBLANK(G1042:G1063),0)))</f>
        <v>$G$1048</v>
      </c>
      <c r="J1042" s="98">
        <f aca="true" t="array" ref="J1042">MATCH(TRUE,ISBLANK(G1042:G1063),0)</f>
        <v>7</v>
      </c>
      <c r="K1042" s="98">
        <f>J1042-3</f>
        <v>4</v>
      </c>
      <c r="L1042" s="98"/>
      <c r="M1042" s="98"/>
      <c r="N1042" s="98"/>
      <c r="O1042" s="98"/>
      <c r="P1042" s="98"/>
      <c r="Q1042" s="98"/>
      <c r="R1042" s="98"/>
    </row>
    <row r="1043" spans="1:18" ht="15" customHeight="1">
      <c r="A1043" s="321" t="s">
        <v>398</v>
      </c>
      <c r="B1043" s="321"/>
      <c r="C1043" s="330" t="s">
        <v>104</v>
      </c>
      <c r="D1043" s="268" t="s">
        <v>29</v>
      </c>
      <c r="E1043" s="304">
        <v>3.48</v>
      </c>
      <c r="F1043" s="1">
        <v>2.442</v>
      </c>
      <c r="G1043" s="92" t="str">
        <f>CONCATENATE(D1043," - ",E1043,", ")</f>
        <v>MS iron scrap - 3.48, </v>
      </c>
      <c r="H1043" s="324"/>
      <c r="I1043" s="98" t="str">
        <f ca="1">IF(J1042&gt;=3,(MID(I1042,2,1)&amp;MID(I1042,4,4)-K1042),CELL("address",Z1043))</f>
        <v>G1044</v>
      </c>
      <c r="J1043" s="98" t="str">
        <f ca="1">IF(J1042&gt;=4,(MID(I1043,1,1)&amp;MID(I1043,2,4)+1),CELL("address",AA1043))</f>
        <v>G1045</v>
      </c>
      <c r="K1043" s="98" t="str">
        <f ca="1">IF(J1042&gt;=5,(MID(J1043,1,1)&amp;MID(J1043,2,4)+1),CELL("address",AB1043))</f>
        <v>G1046</v>
      </c>
      <c r="L1043" s="98" t="str">
        <f ca="1">IF(J1042&gt;=6,(MID(K1043,1,1)&amp;MID(K1043,2,4)+1),CELL("address",AC1043))</f>
        <v>G1047</v>
      </c>
      <c r="M1043" s="98" t="str">
        <f ca="1">IF(J1042&gt;=7,(MID(L1043,1,1)&amp;MID(L1043,2,4)+1),CELL("address",AD1043))</f>
        <v>G1048</v>
      </c>
      <c r="N1043" s="98" t="str">
        <f ca="1">IF(J1042&gt;=8,(MID(M1043,1,1)&amp;MID(M1043,2,4)+1),CELL("address",AE1043))</f>
        <v>$AE$1043</v>
      </c>
      <c r="O1043" s="98" t="str">
        <f ca="1">IF(J1042&gt;=9,(MID(N1043,1,1)&amp;MID(N1043,2,4)+1),CELL("address",AF1043))</f>
        <v>$AF$1043</v>
      </c>
      <c r="P1043" s="98" t="str">
        <f ca="1">IF(J1042&gt;=10,(MID(O1043,1,1)&amp;MID(O1043,2,4)+1),CELL("address",AG1043))</f>
        <v>$AG$1043</v>
      </c>
      <c r="Q1043" s="98" t="str">
        <f ca="1">IF(J1042&gt;=11,(MID(P1043,1,1)&amp;MID(P1043,2,4)+1),CELL("address",AH1043))</f>
        <v>$AH$1043</v>
      </c>
      <c r="R1043" s="98" t="str">
        <f ca="1">IF(J1042&gt;=12,(MID(Q1043,1,1)&amp;MID(Q1043,2,4)+1),CELL("address",AI1043))</f>
        <v>$AI$1043</v>
      </c>
    </row>
    <row r="1044" spans="1:15" ht="15" customHeight="1">
      <c r="A1044" s="321"/>
      <c r="B1044" s="321"/>
      <c r="C1044" s="330"/>
      <c r="D1044" s="269" t="s">
        <v>60</v>
      </c>
      <c r="E1044" s="304">
        <v>3.256</v>
      </c>
      <c r="F1044" s="1">
        <v>1.375</v>
      </c>
      <c r="G1044" s="92" t="str">
        <f>CONCATENATE(D1044," - ",E1044,", ")</f>
        <v>Transformer body scrap - 3.256, </v>
      </c>
      <c r="H1044" s="253"/>
      <c r="I1044" s="98"/>
      <c r="J1044" s="98"/>
      <c r="K1044" s="98"/>
      <c r="L1044" s="98"/>
      <c r="M1044" s="98"/>
      <c r="N1044" s="98"/>
      <c r="O1044" s="98"/>
    </row>
    <row r="1045" spans="1:8" ht="15" customHeight="1">
      <c r="A1045" s="321"/>
      <c r="B1045" s="321"/>
      <c r="C1045" s="330"/>
      <c r="D1045" s="269" t="s">
        <v>428</v>
      </c>
      <c r="E1045" s="295">
        <v>1.016</v>
      </c>
      <c r="F1045" s="1">
        <v>0.459</v>
      </c>
      <c r="G1045" s="92" t="str">
        <f>CONCATENATE(D1045," - ",E1045,", ")</f>
        <v>Lamination scrap - 1.016, </v>
      </c>
      <c r="H1045" s="253"/>
    </row>
    <row r="1046" spans="1:8" ht="15" customHeight="1">
      <c r="A1046" s="321"/>
      <c r="B1046" s="321"/>
      <c r="C1046" s="330"/>
      <c r="D1046" s="269" t="s">
        <v>64</v>
      </c>
      <c r="E1046" s="295">
        <v>1.028</v>
      </c>
      <c r="F1046" s="1">
        <v>0.042</v>
      </c>
      <c r="G1046" s="92" t="str">
        <f>CONCATENATE(D1046," - ",E1046,", ")</f>
        <v>Teen Patra scrap - 1.028, </v>
      </c>
      <c r="H1046" s="253"/>
    </row>
    <row r="1047" spans="1:8" ht="15" customHeight="1">
      <c r="A1047" s="321"/>
      <c r="B1047" s="321"/>
      <c r="C1047" s="330"/>
      <c r="D1047" s="268" t="s">
        <v>61</v>
      </c>
      <c r="E1047" s="295">
        <v>0.138</v>
      </c>
      <c r="F1047" s="1" t="s">
        <v>711</v>
      </c>
      <c r="G1047" s="92" t="str">
        <f>CONCATENATE(D1047," - ",E1047,", ")</f>
        <v>MS Rail scrap - 0.138, </v>
      </c>
      <c r="H1047" s="253"/>
    </row>
    <row r="1048" spans="1:8" ht="15" customHeight="1">
      <c r="A1048" s="195"/>
      <c r="B1048" s="197"/>
      <c r="C1048" s="48"/>
      <c r="D1048" s="38"/>
      <c r="E1048" s="295"/>
      <c r="G1048" s="253"/>
      <c r="H1048" s="253"/>
    </row>
    <row r="1049" spans="1:8" ht="15" customHeight="1">
      <c r="A1049" s="53"/>
      <c r="B1049" s="54"/>
      <c r="C1049" s="54"/>
      <c r="D1049" s="55"/>
      <c r="E1049" s="159">
        <f>SUM(E1051:E1051)</f>
        <v>22</v>
      </c>
      <c r="G1049" s="253"/>
      <c r="H1049" s="253"/>
    </row>
    <row r="1050" spans="1:18" ht="15" customHeight="1">
      <c r="A1050" s="321" t="s">
        <v>5</v>
      </c>
      <c r="B1050" s="321"/>
      <c r="C1050" s="40" t="s">
        <v>17</v>
      </c>
      <c r="D1050" s="296" t="s">
        <v>18</v>
      </c>
      <c r="E1050" s="39" t="s">
        <v>7</v>
      </c>
      <c r="G1050" s="93" t="str">
        <f>CONCATENATE("Misc. Iron Scrap, Lying at ",C1051,". Quantity in MT - ")</f>
        <v>Misc. Iron Scrap, Lying at S &amp; T Store Bathinda. Quantity in MT - </v>
      </c>
      <c r="H1050" s="324" t="str">
        <f ca="1">CONCATENATE(G1050,G1051,(INDIRECT(I1051)),(INDIRECT(J1051)),(INDIRECT(K1051)),(INDIRECT(L1051)),(INDIRECT(M1051)),(INDIRECT(N1051)),(INDIRECT(O1051)),(INDIRECT(P1051)),(INDIRECT(Q1051)),(INDIRECT(R1051)),".")</f>
        <v>Misc. Iron Scrap, Lying at S &amp; T Store Bathinda. Quantity in MT - MS iron scrap - 22, .</v>
      </c>
      <c r="I1050" s="98" t="str">
        <f aca="true" ca="1" t="array" ref="I1050">CELL("address",INDEX(G1050:G1071,MATCH(TRUE,ISBLANK(G1050:G1071),0)))</f>
        <v>$G$1052</v>
      </c>
      <c r="J1050" s="98">
        <f aca="true" t="array" ref="J1050">MATCH(TRUE,ISBLANK(G1050:G1071),0)</f>
        <v>3</v>
      </c>
      <c r="K1050" s="98">
        <f>J1050-3</f>
        <v>0</v>
      </c>
      <c r="L1050" s="98"/>
      <c r="M1050" s="98"/>
      <c r="N1050" s="98"/>
      <c r="O1050" s="98"/>
      <c r="P1050" s="98"/>
      <c r="Q1050" s="98"/>
      <c r="R1050" s="98"/>
    </row>
    <row r="1051" spans="1:18" ht="15" customHeight="1">
      <c r="A1051" s="321" t="s">
        <v>429</v>
      </c>
      <c r="B1051" s="321"/>
      <c r="C1051" s="296" t="s">
        <v>57</v>
      </c>
      <c r="D1051" s="42" t="s">
        <v>29</v>
      </c>
      <c r="E1051" s="69">
        <v>22</v>
      </c>
      <c r="G1051" s="92" t="str">
        <f>CONCATENATE(D1051," - ",E1051,", ")</f>
        <v>MS iron scrap - 22, </v>
      </c>
      <c r="H1051" s="324"/>
      <c r="I1051" s="98" t="str">
        <f ca="1">IF(J1050&gt;=3,(MID(I1050,2,1)&amp;MID(I1050,4,4)-K1050),CELL("address",Z1051))</f>
        <v>G1052</v>
      </c>
      <c r="J1051" s="98" t="str">
        <f ca="1">IF(J1050&gt;=4,(MID(I1051,1,1)&amp;MID(I1051,2,4)+1),CELL("address",AA1051))</f>
        <v>$AA$1051</v>
      </c>
      <c r="K1051" s="98" t="str">
        <f ca="1">IF(J1050&gt;=5,(MID(J1051,1,1)&amp;MID(J1051,2,4)+1),CELL("address",AB1051))</f>
        <v>$AB$1051</v>
      </c>
      <c r="L1051" s="98" t="str">
        <f ca="1">IF(J1050&gt;=6,(MID(K1051,1,1)&amp;MID(K1051,2,4)+1),CELL("address",AC1051))</f>
        <v>$AC$1051</v>
      </c>
      <c r="M1051" s="98" t="str">
        <f ca="1">IF(J1050&gt;=7,(MID(L1051,1,1)&amp;MID(L1051,2,4)+1),CELL("address",AD1051))</f>
        <v>$AD$1051</v>
      </c>
      <c r="N1051" s="98" t="str">
        <f ca="1">IF(J1050&gt;=8,(MID(M1051,1,1)&amp;MID(M1051,2,4)+1),CELL("address",AE1051))</f>
        <v>$AE$1051</v>
      </c>
      <c r="O1051" s="98" t="str">
        <f ca="1">IF(J1050&gt;=9,(MID(N1051,1,1)&amp;MID(N1051,2,4)+1),CELL("address",AF1051))</f>
        <v>$AF$1051</v>
      </c>
      <c r="P1051" s="98" t="str">
        <f ca="1">IF(J1050&gt;=10,(MID(O1051,1,1)&amp;MID(O1051,2,4)+1),CELL("address",AG1051))</f>
        <v>$AG$1051</v>
      </c>
      <c r="Q1051" s="98" t="str">
        <f ca="1">IF(J1050&gt;=11,(MID(P1051,1,1)&amp;MID(P1051,2,4)+1),CELL("address",AH1051))</f>
        <v>$AH$1051</v>
      </c>
      <c r="R1051" s="98" t="str">
        <f ca="1">IF(J1050&gt;=12,(MID(Q1051,1,1)&amp;MID(Q1051,2,4)+1),CELL("address",AI1051))</f>
        <v>$AI$1051</v>
      </c>
    </row>
    <row r="1052" spans="1:15" ht="15" customHeight="1">
      <c r="A1052" s="39"/>
      <c r="B1052" s="41"/>
      <c r="C1052" s="48"/>
      <c r="D1052" s="41"/>
      <c r="E1052" s="58"/>
      <c r="G1052" s="253"/>
      <c r="H1052" s="253"/>
      <c r="I1052" s="98"/>
      <c r="J1052" s="98"/>
      <c r="K1052" s="98"/>
      <c r="L1052" s="98"/>
      <c r="M1052" s="98"/>
      <c r="N1052" s="98"/>
      <c r="O1052" s="98"/>
    </row>
    <row r="1053" spans="1:18" ht="15" customHeight="1">
      <c r="A1053" s="53"/>
      <c r="B1053" s="54"/>
      <c r="C1053" s="54"/>
      <c r="D1053" s="55"/>
      <c r="E1053" s="159">
        <f>SUM(E1055:E1056)</f>
        <v>105</v>
      </c>
      <c r="G1053" s="253"/>
      <c r="H1053" s="253"/>
      <c r="I1053" s="98"/>
      <c r="J1053" s="98"/>
      <c r="K1053" s="98"/>
      <c r="L1053" s="98"/>
      <c r="M1053" s="98"/>
      <c r="N1053" s="98"/>
      <c r="O1053" s="98"/>
      <c r="P1053" s="98"/>
      <c r="Q1053" s="98"/>
      <c r="R1053" s="98"/>
    </row>
    <row r="1054" spans="1:18" ht="15" customHeight="1">
      <c r="A1054" s="321" t="s">
        <v>5</v>
      </c>
      <c r="B1054" s="321"/>
      <c r="C1054" s="40" t="s">
        <v>17</v>
      </c>
      <c r="D1054" s="296" t="s">
        <v>18</v>
      </c>
      <c r="E1054" s="39" t="s">
        <v>69</v>
      </c>
      <c r="G1054" s="93" t="str">
        <f>CONCATENATE("U/S Typewriters &amp; U/S Ceiling fans, Lying at ",C1055,". Quantity in No - ")</f>
        <v>U/S Typewriters &amp; U/S Ceiling fans, Lying at CS Patiala. Quantity in No - </v>
      </c>
      <c r="H1054" s="324" t="str">
        <f ca="1">CONCATENATE(G1054,G1055,(INDIRECT(I1055)),(INDIRECT(J1055)),(INDIRECT(K1055)),(INDIRECT(L1055)),(INDIRECT(M1055)),(INDIRECT(N1055)),(INDIRECT(O1055)),(INDIRECT(P1055)),(INDIRECT(Q1055)),(INDIRECT(R1055)),".")</f>
        <v>U/S Typewriters &amp; U/S Ceiling fans, Lying at CS Patiala. Quantity in No - U/S Typewriters - 64, U/S Ceiling Fans - 41, .</v>
      </c>
      <c r="I1054" s="98" t="str">
        <f aca="true" ca="1" t="array" ref="I1054">CELL("address",INDEX(G1054:G1075,MATCH(TRUE,ISBLANK(G1054:G1075),0)))</f>
        <v>$G$1057</v>
      </c>
      <c r="J1054" s="98">
        <f aca="true" t="array" ref="J1054">MATCH(TRUE,ISBLANK(G1054:G1075),0)</f>
        <v>4</v>
      </c>
      <c r="K1054" s="98">
        <f>J1054-3</f>
        <v>1</v>
      </c>
      <c r="L1054" s="98"/>
      <c r="M1054" s="98"/>
      <c r="N1054" s="98"/>
      <c r="O1054" s="98"/>
      <c r="P1054" s="98"/>
      <c r="Q1054" s="98"/>
      <c r="R1054" s="98"/>
    </row>
    <row r="1055" spans="1:18" ht="15" customHeight="1">
      <c r="A1055" s="321" t="s">
        <v>487</v>
      </c>
      <c r="B1055" s="321"/>
      <c r="C1055" s="330" t="s">
        <v>52</v>
      </c>
      <c r="D1055" s="40" t="s">
        <v>530</v>
      </c>
      <c r="E1055" s="58">
        <v>64</v>
      </c>
      <c r="G1055" s="92" t="str">
        <f>CONCATENATE(D1055," - ",E1055,", ")</f>
        <v>U/S Typewriters - 64, </v>
      </c>
      <c r="H1055" s="324"/>
      <c r="I1055" s="98" t="str">
        <f ca="1">IF(J1054&gt;=3,(MID(I1054,2,1)&amp;MID(I1054,4,4)-K1054),CELL("address",Z1055))</f>
        <v>G1056</v>
      </c>
      <c r="J1055" s="98" t="str">
        <f ca="1">IF(J1054&gt;=4,(MID(I1055,1,1)&amp;MID(I1055,2,4)+1),CELL("address",AA1055))</f>
        <v>G1057</v>
      </c>
      <c r="K1055" s="98" t="str">
        <f ca="1">IF(J1054&gt;=5,(MID(J1055,1,1)&amp;MID(J1055,2,4)+1),CELL("address",AB1055))</f>
        <v>$AB$1055</v>
      </c>
      <c r="L1055" s="98" t="str">
        <f ca="1">IF(J1054&gt;=6,(MID(K1055,1,1)&amp;MID(K1055,2,4)+1),CELL("address",AC1055))</f>
        <v>$AC$1055</v>
      </c>
      <c r="M1055" s="98" t="str">
        <f ca="1">IF(J1054&gt;=7,(MID(L1055,1,1)&amp;MID(L1055,2,4)+1),CELL("address",AD1055))</f>
        <v>$AD$1055</v>
      </c>
      <c r="N1055" s="98" t="str">
        <f ca="1">IF(J1054&gt;=8,(MID(M1055,1,1)&amp;MID(M1055,2,4)+1),CELL("address",AE1055))</f>
        <v>$AE$1055</v>
      </c>
      <c r="O1055" s="98" t="str">
        <f ca="1">IF(J1054&gt;=9,(MID(N1055,1,1)&amp;MID(N1055,2,4)+1),CELL("address",AF1055))</f>
        <v>$AF$1055</v>
      </c>
      <c r="P1055" s="98" t="str">
        <f ca="1">IF(J1054&gt;=10,(MID(O1055,1,1)&amp;MID(O1055,2,4)+1),CELL("address",AG1055))</f>
        <v>$AG$1055</v>
      </c>
      <c r="Q1055" s="98" t="str">
        <f ca="1">IF(J1054&gt;=11,(MID(P1055,1,1)&amp;MID(P1055,2,4)+1),CELL("address",AH1055))</f>
        <v>$AH$1055</v>
      </c>
      <c r="R1055" s="98" t="str">
        <f ca="1">IF(J1054&gt;=12,(MID(Q1055,1,1)&amp;MID(Q1055,2,4)+1),CELL("address",AI1055))</f>
        <v>$AI$1055</v>
      </c>
    </row>
    <row r="1056" spans="1:15" ht="15" customHeight="1">
      <c r="A1056" s="321"/>
      <c r="B1056" s="321"/>
      <c r="C1056" s="330"/>
      <c r="D1056" s="40" t="s">
        <v>534</v>
      </c>
      <c r="E1056" s="58">
        <v>41</v>
      </c>
      <c r="G1056" s="92" t="str">
        <f>CONCATENATE(D1056," - ",E1056,", ")</f>
        <v>U/S Ceiling Fans - 41, </v>
      </c>
      <c r="H1056" s="253"/>
      <c r="I1056" s="98"/>
      <c r="J1056" s="98"/>
      <c r="K1056" s="98"/>
      <c r="L1056" s="98"/>
      <c r="M1056" s="98"/>
      <c r="N1056" s="98"/>
      <c r="O1056" s="98"/>
    </row>
    <row r="1057" spans="1:18" ht="15" customHeight="1">
      <c r="A1057" s="39"/>
      <c r="B1057" s="41"/>
      <c r="C1057" s="48"/>
      <c r="D1057" s="41"/>
      <c r="E1057" s="58"/>
      <c r="G1057" s="253"/>
      <c r="H1057" s="253"/>
      <c r="I1057" s="98"/>
      <c r="J1057" s="98"/>
      <c r="K1057" s="98"/>
      <c r="L1057" s="98"/>
      <c r="M1057" s="98"/>
      <c r="N1057" s="98"/>
      <c r="O1057" s="98"/>
      <c r="P1057" s="98"/>
      <c r="Q1057" s="98"/>
      <c r="R1057" s="98"/>
    </row>
    <row r="1058" spans="1:18" ht="15" customHeight="1">
      <c r="A1058" s="53"/>
      <c r="B1058" s="54"/>
      <c r="C1058" s="54"/>
      <c r="D1058" s="56"/>
      <c r="E1058" s="57">
        <f>SUM(E1060:E1060)</f>
        <v>1</v>
      </c>
      <c r="G1058" s="253"/>
      <c r="H1058" s="253"/>
      <c r="I1058" s="98"/>
      <c r="J1058" s="98"/>
      <c r="K1058" s="98"/>
      <c r="L1058" s="98"/>
      <c r="M1058" s="98"/>
      <c r="N1058" s="98"/>
      <c r="O1058" s="98"/>
      <c r="P1058" s="98"/>
      <c r="Q1058" s="98"/>
      <c r="R1058" s="98"/>
    </row>
    <row r="1059" spans="1:18" ht="15" customHeight="1">
      <c r="A1059" s="336" t="s">
        <v>5</v>
      </c>
      <c r="B1059" s="336"/>
      <c r="C1059" s="70" t="s">
        <v>17</v>
      </c>
      <c r="D1059" s="296" t="s">
        <v>18</v>
      </c>
      <c r="E1059" s="39" t="s">
        <v>69</v>
      </c>
      <c r="G1059" s="93" t="str">
        <f>CONCATENATE("U/S Tyres , Lying at ",C1060,". Quantity in No - ")</f>
        <v>U/S Tyres , Lying at OL Patran. Quantity in No - </v>
      </c>
      <c r="H1059" s="324" t="str">
        <f ca="1">CONCATENATE(G1059,G1060,(INDIRECT(I1060)),(INDIRECT(J1060)),(INDIRECT(K1060)),(INDIRECT(L1060)),(INDIRECT(M1060)),(INDIRECT(N1060)),(INDIRECT(O1060)),(INDIRECT(P1060)),(INDIRECT(Q1060)),(INDIRECT(R1060)),".")</f>
        <v>U/S Tyres , Lying at OL Patran. Quantity in No - U/S Tyres - 1, .</v>
      </c>
      <c r="I1059" s="98" t="str">
        <f aca="true" ca="1" t="array" ref="I1059">CELL("address",INDEX(G1059:G1084,MATCH(TRUE,ISBLANK(G1059:G1084),0)))</f>
        <v>$G$1061</v>
      </c>
      <c r="J1059" s="98">
        <f aca="true" t="array" ref="J1059">MATCH(TRUE,ISBLANK(G1059:G1084),0)</f>
        <v>3</v>
      </c>
      <c r="K1059" s="98">
        <f>J1059-3</f>
        <v>0</v>
      </c>
      <c r="L1059" s="98"/>
      <c r="M1059" s="98"/>
      <c r="N1059" s="98"/>
      <c r="O1059" s="98"/>
      <c r="P1059" s="98"/>
      <c r="Q1059" s="98"/>
      <c r="R1059" s="98"/>
    </row>
    <row r="1060" spans="1:18" ht="15" customHeight="1">
      <c r="A1060" s="321" t="s">
        <v>531</v>
      </c>
      <c r="B1060" s="321"/>
      <c r="C1060" s="296" t="s">
        <v>102</v>
      </c>
      <c r="D1060" s="42" t="s">
        <v>330</v>
      </c>
      <c r="E1060" s="69">
        <v>1</v>
      </c>
      <c r="G1060" s="92" t="str">
        <f>CONCATENATE(D1060," - ",E1060,", ")</f>
        <v>U/S Tyres - 1, </v>
      </c>
      <c r="H1060" s="324"/>
      <c r="I1060" s="98" t="str">
        <f ca="1">IF(J1059&gt;=3,(MID(I1059,2,1)&amp;MID(I1059,4,4)-K1059),CELL("address",Z1060))</f>
        <v>G1061</v>
      </c>
      <c r="J1060" s="98" t="str">
        <f ca="1">IF(J1059&gt;=4,(MID(I1060,1,1)&amp;MID(I1060,2,4)+1),CELL("address",AA1060))</f>
        <v>$AA$1060</v>
      </c>
      <c r="K1060" s="98" t="str">
        <f ca="1">IF(J1059&gt;=5,(MID(J1060,1,1)&amp;MID(J1060,2,4)+1),CELL("address",AB1060))</f>
        <v>$AB$1060</v>
      </c>
      <c r="L1060" s="98" t="str">
        <f ca="1">IF(J1059&gt;=6,(MID(K1060,1,1)&amp;MID(K1060,2,4)+1),CELL("address",AC1060))</f>
        <v>$AC$1060</v>
      </c>
      <c r="M1060" s="98" t="str">
        <f ca="1">IF(J1059&gt;=7,(MID(L1060,1,1)&amp;MID(L1060,2,4)+1),CELL("address",AD1060))</f>
        <v>$AD$1060</v>
      </c>
      <c r="N1060" s="98" t="str">
        <f ca="1">IF(J1059&gt;=8,(MID(M1060,1,1)&amp;MID(M1060,2,4)+1),CELL("address",AE1060))</f>
        <v>$AE$1060</v>
      </c>
      <c r="O1060" s="98" t="str">
        <f ca="1">IF(J1059&gt;=9,(MID(N1060,1,1)&amp;MID(N1060,2,4)+1),CELL("address",AF1060))</f>
        <v>$AF$1060</v>
      </c>
      <c r="P1060" s="98" t="str">
        <f ca="1">IF(J1059&gt;=10,(MID(O1060,1,1)&amp;MID(O1060,2,4)+1),CELL("address",AG1060))</f>
        <v>$AG$1060</v>
      </c>
      <c r="Q1060" s="98" t="str">
        <f ca="1">IF(J1059&gt;=11,(MID(P1060,1,1)&amp;MID(P1060,2,4)+1),CELL("address",AH1060))</f>
        <v>$AH$1060</v>
      </c>
      <c r="R1060" s="98" t="str">
        <f ca="1">IF(J1059&gt;=12,(MID(Q1060,1,1)&amp;MID(Q1060,2,4)+1),CELL("address",AI1060))</f>
        <v>$AI$1060</v>
      </c>
    </row>
    <row r="1061" spans="1:15" ht="15" customHeight="1">
      <c r="A1061" s="39"/>
      <c r="B1061" s="41"/>
      <c r="C1061" s="48"/>
      <c r="D1061" s="307"/>
      <c r="E1061" s="295"/>
      <c r="G1061" s="253"/>
      <c r="H1061" s="253"/>
      <c r="I1061" s="98"/>
      <c r="J1061" s="98"/>
      <c r="K1061" s="98"/>
      <c r="L1061" s="98"/>
      <c r="M1061" s="98"/>
      <c r="N1061" s="98"/>
      <c r="O1061" s="98"/>
    </row>
    <row r="1062" spans="1:18" ht="15" customHeight="1">
      <c r="A1062" s="53"/>
      <c r="B1062" s="54"/>
      <c r="C1062" s="54"/>
      <c r="D1062" s="55"/>
      <c r="E1062" s="159">
        <f>SUM(E1064:E1064)</f>
        <v>1.797</v>
      </c>
      <c r="G1062" s="253"/>
      <c r="H1062" s="253"/>
      <c r="I1062" s="98"/>
      <c r="J1062" s="98"/>
      <c r="K1062" s="98"/>
      <c r="L1062" s="98"/>
      <c r="M1062" s="98"/>
      <c r="N1062" s="98"/>
      <c r="O1062" s="98"/>
      <c r="P1062" s="98"/>
      <c r="Q1062" s="98"/>
      <c r="R1062" s="98"/>
    </row>
    <row r="1063" spans="1:18" ht="15" customHeight="1">
      <c r="A1063" s="321" t="s">
        <v>5</v>
      </c>
      <c r="B1063" s="321"/>
      <c r="C1063" s="40" t="s">
        <v>17</v>
      </c>
      <c r="D1063" s="296" t="s">
        <v>18</v>
      </c>
      <c r="E1063" s="39" t="s">
        <v>7</v>
      </c>
      <c r="G1063" s="93" t="str">
        <f>CONCATENATE("Misc. Iron Scrap, Lying at ",C1064,". Quantity in MT - ")</f>
        <v>Misc. Iron Scrap, Lying at OL Mansa. Quantity in MT - </v>
      </c>
      <c r="H1063" s="324" t="str">
        <f ca="1">CONCATENATE(G1063,G1064,(INDIRECT(I1064)),(INDIRECT(J1064)),(INDIRECT(K1064)),(INDIRECT(L1064)),(INDIRECT(M1064)),(INDIRECT(N1064)),(INDIRECT(O1064)),(INDIRECT(P1064)),(INDIRECT(Q1064)),(INDIRECT(R1064)),".")</f>
        <v>Misc. Iron Scrap, Lying at OL Mansa. Quantity in MT - MS iron scrap - 1.797, .</v>
      </c>
      <c r="I1063" s="98" t="str">
        <f aca="true" ca="1" t="array" ref="I1063">CELL("address",INDEX(G1063:G1088,MATCH(TRUE,ISBLANK(G1063:G1088),0)))</f>
        <v>$G$1065</v>
      </c>
      <c r="J1063" s="98">
        <f aca="true" t="array" ref="J1063">MATCH(TRUE,ISBLANK(G1063:G1088),0)</f>
        <v>3</v>
      </c>
      <c r="K1063" s="98">
        <f>J1063-3</f>
        <v>0</v>
      </c>
      <c r="L1063" s="98"/>
      <c r="M1063" s="98"/>
      <c r="N1063" s="98"/>
      <c r="O1063" s="98"/>
      <c r="P1063" s="98"/>
      <c r="Q1063" s="98"/>
      <c r="R1063" s="98"/>
    </row>
    <row r="1064" spans="1:18" ht="15" customHeight="1">
      <c r="A1064" s="321" t="s">
        <v>556</v>
      </c>
      <c r="B1064" s="321"/>
      <c r="C1064" s="296" t="s">
        <v>59</v>
      </c>
      <c r="D1064" s="268" t="s">
        <v>29</v>
      </c>
      <c r="E1064" s="304">
        <v>1.797</v>
      </c>
      <c r="F1064" s="1">
        <v>0.661</v>
      </c>
      <c r="G1064" s="92" t="str">
        <f>CONCATENATE(D1064," - ",E1064,", ")</f>
        <v>MS iron scrap - 1.797, </v>
      </c>
      <c r="H1064" s="324"/>
      <c r="I1064" s="98" t="str">
        <f ca="1">IF(J1063&gt;=3,(MID(I1063,2,1)&amp;MID(I1063,4,4)-K1063),CELL("address",Z1064))</f>
        <v>G1065</v>
      </c>
      <c r="J1064" s="98" t="str">
        <f ca="1">IF(J1063&gt;=4,(MID(I1064,1,1)&amp;MID(I1064,2,4)+1),CELL("address",AA1064))</f>
        <v>$AA$1064</v>
      </c>
      <c r="K1064" s="98" t="str">
        <f ca="1">IF(J1063&gt;=5,(MID(J1064,1,1)&amp;MID(J1064,2,4)+1),CELL("address",AB1064))</f>
        <v>$AB$1064</v>
      </c>
      <c r="L1064" s="98" t="str">
        <f ca="1">IF(J1063&gt;=6,(MID(K1064,1,1)&amp;MID(K1064,2,4)+1),CELL("address",AC1064))</f>
        <v>$AC$1064</v>
      </c>
      <c r="M1064" s="98" t="str">
        <f ca="1">IF(J1063&gt;=7,(MID(L1064,1,1)&amp;MID(L1064,2,4)+1),CELL("address",AD1064))</f>
        <v>$AD$1064</v>
      </c>
      <c r="N1064" s="98" t="str">
        <f ca="1">IF(J1063&gt;=8,(MID(M1064,1,1)&amp;MID(M1064,2,4)+1),CELL("address",AE1064))</f>
        <v>$AE$1064</v>
      </c>
      <c r="O1064" s="98" t="str">
        <f ca="1">IF(J1063&gt;=9,(MID(N1064,1,1)&amp;MID(N1064,2,4)+1),CELL("address",AF1064))</f>
        <v>$AF$1064</v>
      </c>
      <c r="P1064" s="98" t="str">
        <f ca="1">IF(J1063&gt;=10,(MID(O1064,1,1)&amp;MID(O1064,2,4)+1),CELL("address",AG1064))</f>
        <v>$AG$1064</v>
      </c>
      <c r="Q1064" s="98" t="str">
        <f ca="1">IF(J1063&gt;=11,(MID(P1064,1,1)&amp;MID(P1064,2,4)+1),CELL("address",AH1064))</f>
        <v>$AH$1064</v>
      </c>
      <c r="R1064" s="98" t="str">
        <f ca="1">IF(J1063&gt;=12,(MID(Q1064,1,1)&amp;MID(Q1064,2,4)+1),CELL("address",AI1064))</f>
        <v>$AI$1064</v>
      </c>
    </row>
    <row r="1065" spans="1:15" ht="15" customHeight="1">
      <c r="A1065" s="39"/>
      <c r="B1065" s="41"/>
      <c r="C1065" s="48"/>
      <c r="D1065" s="41"/>
      <c r="E1065" s="58"/>
      <c r="G1065" s="253"/>
      <c r="H1065" s="253"/>
      <c r="I1065" s="98"/>
      <c r="J1065" s="98"/>
      <c r="K1065" s="98"/>
      <c r="L1065" s="98"/>
      <c r="M1065" s="98"/>
      <c r="N1065" s="98"/>
      <c r="O1065" s="98"/>
    </row>
    <row r="1066" spans="1:18" ht="15" customHeight="1">
      <c r="A1066" s="53"/>
      <c r="B1066" s="54"/>
      <c r="C1066" s="54"/>
      <c r="D1066" s="56"/>
      <c r="E1066" s="57">
        <f>SUM(E1068:E1069)</f>
        <v>28</v>
      </c>
      <c r="G1066" s="253"/>
      <c r="H1066" s="253"/>
      <c r="I1066" s="98"/>
      <c r="J1066" s="98"/>
      <c r="K1066" s="98"/>
      <c r="L1066" s="98"/>
      <c r="M1066" s="98"/>
      <c r="N1066" s="98"/>
      <c r="O1066" s="98"/>
      <c r="P1066" s="98"/>
      <c r="Q1066" s="98"/>
      <c r="R1066" s="98"/>
    </row>
    <row r="1067" spans="1:18" ht="15" customHeight="1">
      <c r="A1067" s="336" t="s">
        <v>5</v>
      </c>
      <c r="B1067" s="336"/>
      <c r="C1067" s="70" t="s">
        <v>17</v>
      </c>
      <c r="D1067" s="296" t="s">
        <v>18</v>
      </c>
      <c r="E1067" s="39" t="s">
        <v>69</v>
      </c>
      <c r="G1067" s="93" t="str">
        <f>CONCATENATE("U/S Tyres &amp; U/S Tubes, Lying at ",C1068,". Quantity in No - ")</f>
        <v>U/S Tyres &amp; U/S Tubes, Lying at S &amp; T Store Bathinda. Quantity in No - </v>
      </c>
      <c r="H1067" s="324" t="str">
        <f ca="1">CONCATENATE(G1067,G1068,(INDIRECT(I1068)),(INDIRECT(J1068)),(INDIRECT(K1068)),(INDIRECT(L1068)),(INDIRECT(M1068)),(INDIRECT(N1068)),(INDIRECT(O1068)),(INDIRECT(P1068)),(INDIRECT(Q1068)),(INDIRECT(R1068)),".")</f>
        <v>U/S Tyres &amp; U/S Tubes, Lying at S &amp; T Store Bathinda. Quantity in No - U/S Tyres - 16, U/S Tubes - 12, .</v>
      </c>
      <c r="I1067" s="98" t="str">
        <f aca="true" ca="1" t="array" ref="I1067">CELL("address",INDEX(G1067:G1092,MATCH(TRUE,ISBLANK(G1067:G1092),0)))</f>
        <v>$G$1070</v>
      </c>
      <c r="J1067" s="98">
        <f aca="true" t="array" ref="J1067">MATCH(TRUE,ISBLANK(G1067:G1092),0)</f>
        <v>4</v>
      </c>
      <c r="K1067" s="98">
        <f>J1067-3</f>
        <v>1</v>
      </c>
      <c r="L1067" s="98"/>
      <c r="M1067" s="98"/>
      <c r="N1067" s="98"/>
      <c r="O1067" s="98"/>
      <c r="P1067" s="98"/>
      <c r="Q1067" s="98"/>
      <c r="R1067" s="98"/>
    </row>
    <row r="1068" spans="1:18" ht="15" customHeight="1">
      <c r="A1068" s="321" t="s">
        <v>561</v>
      </c>
      <c r="B1068" s="321"/>
      <c r="C1068" s="330" t="s">
        <v>57</v>
      </c>
      <c r="D1068" s="40" t="s">
        <v>330</v>
      </c>
      <c r="E1068" s="216">
        <v>16</v>
      </c>
      <c r="G1068" s="92" t="str">
        <f>CONCATENATE(D1068," - ",E1068,", ")</f>
        <v>U/S Tyres - 16, </v>
      </c>
      <c r="H1068" s="324"/>
      <c r="I1068" s="98" t="str">
        <f ca="1">IF(J1067&gt;=3,(MID(I1067,2,1)&amp;MID(I1067,4,4)-K1067),CELL("address",Z1068))</f>
        <v>G1069</v>
      </c>
      <c r="J1068" s="98" t="str">
        <f ca="1">IF(J1067&gt;=4,(MID(I1068,1,1)&amp;MID(I1068,2,4)+1),CELL("address",AA1068))</f>
        <v>G1070</v>
      </c>
      <c r="K1068" s="98" t="str">
        <f ca="1">IF(J1067&gt;=5,(MID(J1068,1,1)&amp;MID(J1068,2,4)+1),CELL("address",AB1068))</f>
        <v>$AB$1068</v>
      </c>
      <c r="L1068" s="98" t="str">
        <f ca="1">IF(J1067&gt;=6,(MID(K1068,1,1)&amp;MID(K1068,2,4)+1),CELL("address",AC1068))</f>
        <v>$AC$1068</v>
      </c>
      <c r="M1068" s="98" t="str">
        <f ca="1">IF(J1067&gt;=7,(MID(L1068,1,1)&amp;MID(L1068,2,4)+1),CELL("address",AD1068))</f>
        <v>$AD$1068</v>
      </c>
      <c r="N1068" s="98" t="str">
        <f ca="1">IF(J1067&gt;=8,(MID(M1068,1,1)&amp;MID(M1068,2,4)+1),CELL("address",AE1068))</f>
        <v>$AE$1068</v>
      </c>
      <c r="O1068" s="98" t="str">
        <f ca="1">IF(J1067&gt;=9,(MID(N1068,1,1)&amp;MID(N1068,2,4)+1),CELL("address",AF1068))</f>
        <v>$AF$1068</v>
      </c>
      <c r="P1068" s="98" t="str">
        <f ca="1">IF(J1067&gt;=10,(MID(O1068,1,1)&amp;MID(O1068,2,4)+1),CELL("address",AG1068))</f>
        <v>$AG$1068</v>
      </c>
      <c r="Q1068" s="98" t="str">
        <f ca="1">IF(J1067&gt;=11,(MID(P1068,1,1)&amp;MID(P1068,2,4)+1),CELL("address",AH1068))</f>
        <v>$AH$1068</v>
      </c>
      <c r="R1068" s="98" t="str">
        <f ca="1">IF(J1067&gt;=12,(MID(Q1068,1,1)&amp;MID(Q1068,2,4)+1),CELL("address",AI1068))</f>
        <v>$AI$1068</v>
      </c>
    </row>
    <row r="1069" spans="1:15" ht="15" customHeight="1">
      <c r="A1069" s="321"/>
      <c r="B1069" s="321"/>
      <c r="C1069" s="330"/>
      <c r="D1069" s="40" t="s">
        <v>331</v>
      </c>
      <c r="E1069" s="216">
        <v>12</v>
      </c>
      <c r="G1069" s="92" t="str">
        <f>CONCATENATE(D1069," - ",E1069,", ")</f>
        <v>U/S Tubes - 12, </v>
      </c>
      <c r="H1069" s="253"/>
      <c r="I1069" s="98"/>
      <c r="J1069" s="98"/>
      <c r="K1069" s="98"/>
      <c r="L1069" s="98"/>
      <c r="M1069" s="98"/>
      <c r="N1069" s="98"/>
      <c r="O1069" s="98"/>
    </row>
    <row r="1070" spans="1:18" ht="15" customHeight="1">
      <c r="A1070" s="39"/>
      <c r="B1070" s="41"/>
      <c r="C1070" s="48"/>
      <c r="D1070" s="41"/>
      <c r="E1070" s="216"/>
      <c r="G1070" s="193"/>
      <c r="H1070" s="253"/>
      <c r="I1070" s="98"/>
      <c r="J1070" s="98"/>
      <c r="K1070" s="98"/>
      <c r="L1070" s="98"/>
      <c r="M1070" s="98"/>
      <c r="N1070" s="98"/>
      <c r="O1070" s="98"/>
      <c r="P1070" s="98"/>
      <c r="Q1070" s="98"/>
      <c r="R1070" s="98"/>
    </row>
    <row r="1071" spans="1:18" ht="15" customHeight="1">
      <c r="A1071" s="53"/>
      <c r="B1071" s="54"/>
      <c r="C1071" s="54"/>
      <c r="D1071" s="56"/>
      <c r="E1071" s="57">
        <f>SUM(E1073:E1075)</f>
        <v>0.996</v>
      </c>
      <c r="G1071" s="193"/>
      <c r="H1071" s="253"/>
      <c r="I1071" s="98"/>
      <c r="J1071" s="98"/>
      <c r="K1071" s="98"/>
      <c r="L1071" s="98"/>
      <c r="M1071" s="98"/>
      <c r="N1071" s="98"/>
      <c r="O1071" s="98"/>
      <c r="P1071" s="98"/>
      <c r="Q1071" s="98"/>
      <c r="R1071" s="98"/>
    </row>
    <row r="1072" spans="1:18" ht="15" customHeight="1">
      <c r="A1072" s="336" t="s">
        <v>5</v>
      </c>
      <c r="B1072" s="336"/>
      <c r="C1072" s="70" t="s">
        <v>17</v>
      </c>
      <c r="D1072" s="296" t="s">
        <v>18</v>
      </c>
      <c r="E1072" s="39" t="s">
        <v>7</v>
      </c>
      <c r="G1072" s="93" t="str">
        <f>CONCATENATE("Misc Iron Scrap, Lying at ",C1073,". Quantity in MT - ")</f>
        <v>Misc Iron Scrap, Lying at OL Bhagta Bhai Ka. Quantity in MT - </v>
      </c>
      <c r="H1072" s="324" t="str">
        <f ca="1">CONCATENATE(G1072,G1073,(INDIRECT(I1073)),(INDIRECT(J1073)),(INDIRECT(K1073)),(INDIRECT(L1073)),(INDIRECT(M1073)),(INDIRECT(N1073)),(INDIRECT(O1073)),(INDIRECT(P1073)),(INDIRECT(Q1073)),(INDIRECT(R1073)),".")</f>
        <v>Misc Iron Scrap, Lying at OL Bhagta Bhai Ka. Quantity in MT - MS iron scrap - 0.244, Transformer body scrap - 0.736, Teen Patra scrap - 0.016, .</v>
      </c>
      <c r="I1072" s="98" t="str">
        <f aca="true" ca="1" t="array" ref="I1072">CELL("address",INDEX(G1072:G1097,MATCH(TRUE,ISBLANK(G1072:G1097),0)))</f>
        <v>$G$1076</v>
      </c>
      <c r="J1072" s="98">
        <f aca="true" t="array" ref="J1072">MATCH(TRUE,ISBLANK(G1072:G1097),0)</f>
        <v>5</v>
      </c>
      <c r="K1072" s="98">
        <f>J1072-3</f>
        <v>2</v>
      </c>
      <c r="L1072" s="98"/>
      <c r="M1072" s="98"/>
      <c r="N1072" s="98"/>
      <c r="O1072" s="98"/>
      <c r="P1072" s="98"/>
      <c r="Q1072" s="98"/>
      <c r="R1072" s="98"/>
    </row>
    <row r="1073" spans="1:18" ht="15" customHeight="1">
      <c r="A1073" s="321" t="s">
        <v>773</v>
      </c>
      <c r="B1073" s="321"/>
      <c r="C1073" s="330" t="s">
        <v>100</v>
      </c>
      <c r="D1073" s="268" t="s">
        <v>29</v>
      </c>
      <c r="E1073" s="304">
        <v>0.244</v>
      </c>
      <c r="F1073" s="1" t="s">
        <v>711</v>
      </c>
      <c r="G1073" s="92" t="str">
        <f>CONCATENATE(D1073," - ",E1073,", ")</f>
        <v>MS iron scrap - 0.244, </v>
      </c>
      <c r="H1073" s="324"/>
      <c r="I1073" s="98" t="str">
        <f ca="1">IF(J1072&gt;=3,(MID(I1072,2,1)&amp;MID(I1072,4,4)-K1072),CELL("address",Z1073))</f>
        <v>G1074</v>
      </c>
      <c r="J1073" s="98" t="str">
        <f ca="1">IF(J1072&gt;=4,(MID(I1073,1,1)&amp;MID(I1073,2,4)+1),CELL("address",AA1073))</f>
        <v>G1075</v>
      </c>
      <c r="K1073" s="98" t="str">
        <f ca="1">IF(J1072&gt;=5,(MID(J1073,1,1)&amp;MID(J1073,2,4)+1),CELL("address",AB1073))</f>
        <v>G1076</v>
      </c>
      <c r="L1073" s="98" t="str">
        <f ca="1">IF(J1072&gt;=6,(MID(K1073,1,1)&amp;MID(K1073,2,4)+1),CELL("address",AC1073))</f>
        <v>$AC$1073</v>
      </c>
      <c r="M1073" s="98" t="str">
        <f ca="1">IF(J1072&gt;=7,(MID(L1073,1,1)&amp;MID(L1073,2,4)+1),CELL("address",AD1073))</f>
        <v>$AD$1073</v>
      </c>
      <c r="N1073" s="98" t="str">
        <f ca="1">IF(J1072&gt;=8,(MID(M1073,1,1)&amp;MID(M1073,2,4)+1),CELL("address",AE1073))</f>
        <v>$AE$1073</v>
      </c>
      <c r="O1073" s="98" t="str">
        <f ca="1">IF(J1072&gt;=9,(MID(N1073,1,1)&amp;MID(N1073,2,4)+1),CELL("address",AF1073))</f>
        <v>$AF$1073</v>
      </c>
      <c r="P1073" s="98" t="str">
        <f ca="1">IF(J1072&gt;=10,(MID(O1073,1,1)&amp;MID(O1073,2,4)+1),CELL("address",AG1073))</f>
        <v>$AG$1073</v>
      </c>
      <c r="Q1073" s="98" t="str">
        <f ca="1">IF(J1072&gt;=11,(MID(P1073,1,1)&amp;MID(P1073,2,4)+1),CELL("address",AH1073))</f>
        <v>$AH$1073</v>
      </c>
      <c r="R1073" s="98" t="str">
        <f ca="1">IF(J1072&gt;=12,(MID(Q1073,1,1)&amp;MID(Q1073,2,4)+1),CELL("address",AI1073))</f>
        <v>$AI$1073</v>
      </c>
    </row>
    <row r="1074" spans="1:15" ht="15" customHeight="1">
      <c r="A1074" s="321"/>
      <c r="B1074" s="321"/>
      <c r="C1074" s="330"/>
      <c r="D1074" s="269" t="s">
        <v>60</v>
      </c>
      <c r="E1074" s="304">
        <v>0.736</v>
      </c>
      <c r="F1074" s="1" t="s">
        <v>711</v>
      </c>
      <c r="G1074" s="92" t="str">
        <f>CONCATENATE(D1074," - ",E1074,", ")</f>
        <v>Transformer body scrap - 0.736, </v>
      </c>
      <c r="H1074" s="253"/>
      <c r="I1074" s="98"/>
      <c r="J1074" s="98"/>
      <c r="K1074" s="98"/>
      <c r="L1074" s="98"/>
      <c r="M1074" s="98"/>
      <c r="N1074" s="98"/>
      <c r="O1074" s="98"/>
    </row>
    <row r="1075" spans="1:19" ht="15" customHeight="1">
      <c r="A1075" s="321"/>
      <c r="B1075" s="321"/>
      <c r="C1075" s="330"/>
      <c r="D1075" s="269" t="s">
        <v>64</v>
      </c>
      <c r="E1075" s="295">
        <v>0.016</v>
      </c>
      <c r="F1075" s="1" t="s">
        <v>711</v>
      </c>
      <c r="G1075" s="92" t="str">
        <f>CONCATENATE(D1075," - ",E1075,", ")</f>
        <v>Teen Patra scrap - 0.016, </v>
      </c>
      <c r="H1075" s="289"/>
      <c r="I1075" s="253"/>
      <c r="J1075" s="253"/>
      <c r="K1075" s="253"/>
      <c r="L1075" s="253"/>
      <c r="M1075" s="253"/>
      <c r="N1075" s="253"/>
      <c r="O1075" s="253"/>
      <c r="P1075" s="253"/>
      <c r="Q1075" s="253"/>
      <c r="R1075" s="253"/>
      <c r="S1075" s="253"/>
    </row>
    <row r="1076" spans="1:19" ht="15" customHeight="1">
      <c r="A1076" s="39"/>
      <c r="B1076" s="41"/>
      <c r="C1076" s="48"/>
      <c r="D1076" s="38"/>
      <c r="E1076" s="295"/>
      <c r="G1076" s="193"/>
      <c r="H1076" s="193"/>
      <c r="I1076" s="253"/>
      <c r="J1076" s="253"/>
      <c r="K1076" s="253"/>
      <c r="L1076" s="253"/>
      <c r="M1076" s="253"/>
      <c r="N1076" s="253"/>
      <c r="O1076" s="253"/>
      <c r="P1076" s="253"/>
      <c r="Q1076" s="253"/>
      <c r="R1076" s="253"/>
      <c r="S1076" s="253"/>
    </row>
    <row r="1077" spans="1:19" ht="15" customHeight="1">
      <c r="A1077" s="53"/>
      <c r="B1077" s="54"/>
      <c r="C1077" s="54"/>
      <c r="D1077" s="55"/>
      <c r="E1077" s="156">
        <f>SUM(E1079:E1079)</f>
        <v>12</v>
      </c>
      <c r="G1077" s="193"/>
      <c r="H1077" s="193"/>
      <c r="I1077" s="253"/>
      <c r="J1077" s="253"/>
      <c r="K1077" s="253"/>
      <c r="L1077" s="253"/>
      <c r="M1077" s="253"/>
      <c r="N1077" s="253"/>
      <c r="O1077" s="253"/>
      <c r="P1077" s="253"/>
      <c r="Q1077" s="253"/>
      <c r="R1077" s="253"/>
      <c r="S1077" s="253"/>
    </row>
    <row r="1078" spans="1:18" ht="15" customHeight="1">
      <c r="A1078" s="321" t="s">
        <v>5</v>
      </c>
      <c r="B1078" s="321"/>
      <c r="C1078" s="40" t="s">
        <v>17</v>
      </c>
      <c r="D1078" s="296" t="s">
        <v>18</v>
      </c>
      <c r="E1078" s="39" t="s">
        <v>69</v>
      </c>
      <c r="G1078" s="93" t="str">
        <f>CONCATENATE("Misc Iron Scrap, Lying at ",C1079,". Quantity in No - ")</f>
        <v>Misc Iron Scrap, Lying at CS Kotkapura. Quantity in No - </v>
      </c>
      <c r="H1078" s="324" t="str">
        <f ca="1">CONCATENATE(G1078,G1079,(INDIRECT(I1079)),(INDIRECT(J1079)),(INDIRECT(K1079)),(INDIRECT(L1079)),(INDIRECT(M1079)),(INDIRECT(N1079)),(INDIRECT(O1079)),(INDIRECT(P1079)),(INDIRECT(Q1079)),(INDIRECT(R1079)),".")</f>
        <v>Misc Iron Scrap, Lying at CS Kotkapura. Quantity in No - Disc Insulator Scrap - 12, .</v>
      </c>
      <c r="I1078" s="98" t="str">
        <f aca="true" ca="1" t="array" ref="I1078">CELL("address",INDEX(G1078:G1103,MATCH(TRUE,ISBLANK(G1078:G1103),0)))</f>
        <v>$G$1080</v>
      </c>
      <c r="J1078" s="98">
        <f aca="true" t="array" ref="J1078">MATCH(TRUE,ISBLANK(G1078:G1103),0)</f>
        <v>3</v>
      </c>
      <c r="K1078" s="98">
        <f>J1078-3</f>
        <v>0</v>
      </c>
      <c r="L1078" s="98"/>
      <c r="M1078" s="98"/>
      <c r="N1078" s="98"/>
      <c r="O1078" s="98"/>
      <c r="P1078" s="98"/>
      <c r="Q1078" s="98"/>
      <c r="R1078" s="98"/>
    </row>
    <row r="1079" spans="1:18" ht="15" customHeight="1">
      <c r="A1079" s="322" t="s">
        <v>784</v>
      </c>
      <c r="B1079" s="323"/>
      <c r="C1079" s="297" t="s">
        <v>43</v>
      </c>
      <c r="D1079" s="308" t="s">
        <v>70</v>
      </c>
      <c r="E1079" s="270">
        <v>12</v>
      </c>
      <c r="F1079" s="1" t="s">
        <v>711</v>
      </c>
      <c r="G1079" s="92" t="str">
        <f>CONCATENATE(D1079," - ",E1079,", ")</f>
        <v>Disc Insulator Scrap - 12, </v>
      </c>
      <c r="H1079" s="324"/>
      <c r="I1079" s="98" t="str">
        <f ca="1">IF(J1078&gt;=3,(MID(I1078,2,1)&amp;MID(I1078,4,4)-K1078),CELL("address",Z1079))</f>
        <v>G1080</v>
      </c>
      <c r="J1079" s="98" t="str">
        <f ca="1">IF(J1078&gt;=4,(MID(I1079,1,1)&amp;MID(I1079,2,4)+1),CELL("address",AA1079))</f>
        <v>$AA$1079</v>
      </c>
      <c r="K1079" s="98" t="str">
        <f ca="1">IF(J1078&gt;=5,(MID(J1079,1,1)&amp;MID(J1079,2,4)+1),CELL("address",AB1079))</f>
        <v>$AB$1079</v>
      </c>
      <c r="L1079" s="98" t="str">
        <f ca="1">IF(J1078&gt;=6,(MID(K1079,1,1)&amp;MID(K1079,2,4)+1),CELL("address",AC1079))</f>
        <v>$AC$1079</v>
      </c>
      <c r="M1079" s="98" t="str">
        <f ca="1">IF(J1078&gt;=7,(MID(L1079,1,1)&amp;MID(L1079,2,4)+1),CELL("address",AD1079))</f>
        <v>$AD$1079</v>
      </c>
      <c r="N1079" s="98" t="str">
        <f ca="1">IF(J1078&gt;=8,(MID(M1079,1,1)&amp;MID(M1079,2,4)+1),CELL("address",AE1079))</f>
        <v>$AE$1079</v>
      </c>
      <c r="O1079" s="98" t="str">
        <f ca="1">IF(J1078&gt;=9,(MID(N1079,1,1)&amp;MID(N1079,2,4)+1),CELL("address",AF1079))</f>
        <v>$AF$1079</v>
      </c>
      <c r="P1079" s="98" t="str">
        <f ca="1">IF(J1078&gt;=10,(MID(O1079,1,1)&amp;MID(O1079,2,4)+1),CELL("address",AG1079))</f>
        <v>$AG$1079</v>
      </c>
      <c r="Q1079" s="98" t="str">
        <f ca="1">IF(J1078&gt;=11,(MID(P1079,1,1)&amp;MID(P1079,2,4)+1),CELL("address",AH1079))</f>
        <v>$AH$1079</v>
      </c>
      <c r="R1079" s="98" t="str">
        <f ca="1">IF(J1078&gt;=12,(MID(Q1079,1,1)&amp;MID(Q1079,2,4)+1),CELL("address",AI1079))</f>
        <v>$AI$1079</v>
      </c>
    </row>
    <row r="1080" spans="1:19" ht="15" customHeight="1">
      <c r="A1080" s="39"/>
      <c r="B1080" s="41"/>
      <c r="C1080" s="48"/>
      <c r="D1080" s="38"/>
      <c r="E1080" s="295"/>
      <c r="G1080" s="193"/>
      <c r="H1080" s="193"/>
      <c r="I1080" s="253"/>
      <c r="J1080" s="253"/>
      <c r="K1080" s="253"/>
      <c r="L1080" s="253"/>
      <c r="M1080" s="253"/>
      <c r="N1080" s="253"/>
      <c r="O1080" s="253"/>
      <c r="P1080" s="253"/>
      <c r="Q1080" s="253"/>
      <c r="R1080" s="253"/>
      <c r="S1080" s="253"/>
    </row>
    <row r="1081" spans="1:8" ht="15" customHeight="1">
      <c r="A1081" s="384" t="s">
        <v>281</v>
      </c>
      <c r="B1081" s="385"/>
      <c r="C1081" s="385"/>
      <c r="D1081" s="385"/>
      <c r="E1081" s="385"/>
      <c r="H1081" s="1"/>
    </row>
    <row r="1082" spans="1:8" ht="15" customHeight="1">
      <c r="A1082" s="334" t="s">
        <v>5</v>
      </c>
      <c r="B1082" s="335"/>
      <c r="C1082" s="334" t="s">
        <v>6</v>
      </c>
      <c r="D1082" s="335"/>
      <c r="E1082" s="299" t="s">
        <v>7</v>
      </c>
      <c r="H1082" s="93"/>
    </row>
    <row r="1083" spans="1:8" ht="15" customHeight="1">
      <c r="A1083" s="321" t="s">
        <v>124</v>
      </c>
      <c r="B1083" s="321"/>
      <c r="C1083" s="377" t="s">
        <v>112</v>
      </c>
      <c r="D1083" s="377"/>
      <c r="E1083" s="287">
        <v>1.678</v>
      </c>
      <c r="F1083" s="1">
        <v>1.353</v>
      </c>
      <c r="H1083" s="93" t="str">
        <f aca="true" t="shared" si="7" ref="H1083:H1101">CONCATENATE("Wooden scrap (without iron parts), Lying at ",C1083,". Quantity in MT - ",E1083,)</f>
        <v>Wooden scrap (without iron parts), Lying at OL Fazilka. Quantity in MT - 1.678</v>
      </c>
    </row>
    <row r="1084" spans="1:8" ht="15" customHeight="1">
      <c r="A1084" s="321" t="s">
        <v>127</v>
      </c>
      <c r="B1084" s="321"/>
      <c r="C1084" s="337" t="s">
        <v>95</v>
      </c>
      <c r="D1084" s="337"/>
      <c r="E1084" s="287">
        <v>0.424</v>
      </c>
      <c r="F1084" s="1">
        <v>0.421</v>
      </c>
      <c r="H1084" s="93" t="str">
        <f t="shared" si="7"/>
        <v>Wooden scrap (without iron parts), Lying at CS Malout. Quantity in MT - 0.424</v>
      </c>
    </row>
    <row r="1085" spans="1:8" ht="15" customHeight="1">
      <c r="A1085" s="321" t="s">
        <v>128</v>
      </c>
      <c r="B1085" s="321"/>
      <c r="C1085" s="375" t="s">
        <v>102</v>
      </c>
      <c r="D1085" s="375"/>
      <c r="E1085" s="69">
        <v>0.633</v>
      </c>
      <c r="H1085" s="93" t="str">
        <f t="shared" si="7"/>
        <v>Wooden scrap (without iron parts), Lying at OL Patran. Quantity in MT - 0.633</v>
      </c>
    </row>
    <row r="1086" spans="1:8" ht="15" customHeight="1">
      <c r="A1086" s="321" t="s">
        <v>129</v>
      </c>
      <c r="B1086" s="321"/>
      <c r="C1086" s="321" t="s">
        <v>43</v>
      </c>
      <c r="D1086" s="321"/>
      <c r="E1086" s="69">
        <v>5.176</v>
      </c>
      <c r="H1086" s="93" t="str">
        <f t="shared" si="7"/>
        <v>Wooden scrap (without iron parts), Lying at CS Kotkapura. Quantity in MT - 5.176</v>
      </c>
    </row>
    <row r="1087" spans="1:8" ht="15" customHeight="1">
      <c r="A1087" s="321" t="s">
        <v>130</v>
      </c>
      <c r="B1087" s="321"/>
      <c r="C1087" s="321" t="s">
        <v>79</v>
      </c>
      <c r="D1087" s="321"/>
      <c r="E1087" s="69">
        <v>2.916</v>
      </c>
      <c r="F1087" s="120"/>
      <c r="H1087" s="93" t="str">
        <f t="shared" si="7"/>
        <v>Wooden scrap (without iron parts), Lying at CS Sangrur. Quantity in MT - 2.916</v>
      </c>
    </row>
    <row r="1088" spans="1:8" ht="15" customHeight="1">
      <c r="A1088" s="321" t="s">
        <v>131</v>
      </c>
      <c r="B1088" s="321"/>
      <c r="C1088" s="375" t="s">
        <v>126</v>
      </c>
      <c r="D1088" s="375"/>
      <c r="E1088" s="69">
        <v>2.5</v>
      </c>
      <c r="H1088" s="93" t="str">
        <f t="shared" si="7"/>
        <v>Wooden scrap (without iron parts), Lying at OL Malerkotla. Quantity in MT - 2.5</v>
      </c>
    </row>
    <row r="1089" spans="1:8" ht="15" customHeight="1">
      <c r="A1089" s="321" t="s">
        <v>137</v>
      </c>
      <c r="B1089" s="321"/>
      <c r="C1089" s="377" t="s">
        <v>100</v>
      </c>
      <c r="D1089" s="377"/>
      <c r="E1089" s="304">
        <v>0.678</v>
      </c>
      <c r="F1089" s="1">
        <v>0.612</v>
      </c>
      <c r="H1089" s="93" t="str">
        <f t="shared" si="7"/>
        <v>Wooden scrap (without iron parts), Lying at OL Bhagta Bhai Ka. Quantity in MT - 0.678</v>
      </c>
    </row>
    <row r="1090" spans="1:8" ht="15" customHeight="1">
      <c r="A1090" s="321" t="s">
        <v>138</v>
      </c>
      <c r="B1090" s="321"/>
      <c r="C1090" s="377" t="s">
        <v>59</v>
      </c>
      <c r="D1090" s="377"/>
      <c r="E1090" s="304">
        <v>0.59</v>
      </c>
      <c r="F1090" s="1">
        <v>0.4</v>
      </c>
      <c r="H1090" s="93" t="str">
        <f t="shared" si="7"/>
        <v>Wooden scrap (without iron parts), Lying at OL Mansa. Quantity in MT - 0.59</v>
      </c>
    </row>
    <row r="1091" spans="1:8" ht="15" customHeight="1">
      <c r="A1091" s="321" t="s">
        <v>139</v>
      </c>
      <c r="B1091" s="321"/>
      <c r="C1091" s="321" t="s">
        <v>99</v>
      </c>
      <c r="D1091" s="321"/>
      <c r="E1091" s="69">
        <v>4.273</v>
      </c>
      <c r="H1091" s="93" t="str">
        <f t="shared" si="7"/>
        <v>Wooden scrap (without iron parts), Lying at CS Ferozepur. Quantity in MT - 4.273</v>
      </c>
    </row>
    <row r="1092" spans="1:8" ht="15" customHeight="1">
      <c r="A1092" s="321" t="s">
        <v>140</v>
      </c>
      <c r="B1092" s="321"/>
      <c r="C1092" s="375" t="s">
        <v>268</v>
      </c>
      <c r="D1092" s="389"/>
      <c r="E1092" s="69">
        <v>1.246</v>
      </c>
      <c r="H1092" s="93" t="str">
        <f t="shared" si="7"/>
        <v>Wooden scrap (without iron parts), Lying at OL Moga. Quantity in MT - 1.246</v>
      </c>
    </row>
    <row r="1093" spans="1:8" ht="15" customHeight="1">
      <c r="A1093" s="321" t="s">
        <v>144</v>
      </c>
      <c r="B1093" s="321"/>
      <c r="C1093" s="390" t="s">
        <v>356</v>
      </c>
      <c r="D1093" s="390"/>
      <c r="E1093" s="69">
        <v>0.37</v>
      </c>
      <c r="H1093" s="93" t="str">
        <f t="shared" si="7"/>
        <v>Wooden scrap (without iron parts), Lying at OL Shri Mukatsar Sahib. Quantity in MT - 0.37</v>
      </c>
    </row>
    <row r="1094" spans="1:8" ht="15" customHeight="1">
      <c r="A1094" s="321" t="s">
        <v>355</v>
      </c>
      <c r="B1094" s="321"/>
      <c r="C1094" s="375" t="s">
        <v>190</v>
      </c>
      <c r="D1094" s="375"/>
      <c r="E1094" s="46">
        <v>1.909</v>
      </c>
      <c r="H1094" s="93" t="str">
        <f t="shared" si="7"/>
        <v>Wooden scrap (without iron parts), Lying at OL Barnala. Quantity in MT - 1.909</v>
      </c>
    </row>
    <row r="1095" spans="1:8" ht="15" customHeight="1">
      <c r="A1095" s="321" t="s">
        <v>378</v>
      </c>
      <c r="B1095" s="321"/>
      <c r="C1095" s="338" t="s">
        <v>63</v>
      </c>
      <c r="D1095" s="338"/>
      <c r="E1095" s="303">
        <v>6.314</v>
      </c>
      <c r="F1095" s="1">
        <v>0.264</v>
      </c>
      <c r="H1095" s="93" t="str">
        <f t="shared" si="7"/>
        <v>Wooden scrap (without iron parts), Lying at CS Bathinda. Quantity in MT - 6.314</v>
      </c>
    </row>
    <row r="1096" spans="1:8" ht="15" customHeight="1">
      <c r="A1096" s="321" t="s">
        <v>394</v>
      </c>
      <c r="B1096" s="321"/>
      <c r="C1096" s="377" t="s">
        <v>431</v>
      </c>
      <c r="D1096" s="377"/>
      <c r="E1096" s="303">
        <v>1.44</v>
      </c>
      <c r="F1096" s="1">
        <v>1.305</v>
      </c>
      <c r="H1096" s="93" t="str">
        <f t="shared" si="7"/>
        <v>Wooden scrap (without iron parts), Lying at OLNabha. Quantity in MT - 1.44</v>
      </c>
    </row>
    <row r="1097" spans="1:8" ht="15" customHeight="1">
      <c r="A1097" s="321" t="s">
        <v>422</v>
      </c>
      <c r="B1097" s="321"/>
      <c r="C1097" s="377" t="s">
        <v>559</v>
      </c>
      <c r="D1097" s="391"/>
      <c r="E1097" s="303">
        <v>4.048</v>
      </c>
      <c r="F1097" s="1">
        <v>0.4</v>
      </c>
      <c r="H1097" s="93" t="str">
        <f t="shared" si="7"/>
        <v>Wooden scrap (without iron parts), Lying at OLRajpura. Quantity in MT - 4.048</v>
      </c>
    </row>
    <row r="1098" spans="1:8" ht="15" customHeight="1">
      <c r="A1098" s="321" t="s">
        <v>430</v>
      </c>
      <c r="B1098" s="321"/>
      <c r="C1098" s="338" t="s">
        <v>62</v>
      </c>
      <c r="D1098" s="338"/>
      <c r="E1098" s="303">
        <v>5.273</v>
      </c>
      <c r="F1098" s="1">
        <v>2.22</v>
      </c>
      <c r="H1098" s="93" t="str">
        <f t="shared" si="7"/>
        <v>Wooden scrap (without iron parts), Lying at CS Mohali. Quantity in MT - 5.273</v>
      </c>
    </row>
    <row r="1099" spans="1:8" ht="15" customHeight="1">
      <c r="A1099" s="321" t="s">
        <v>563</v>
      </c>
      <c r="B1099" s="321"/>
      <c r="C1099" s="377" t="s">
        <v>98</v>
      </c>
      <c r="D1099" s="377"/>
      <c r="E1099" s="303">
        <v>15.312</v>
      </c>
      <c r="F1099" s="1">
        <v>0.814</v>
      </c>
      <c r="H1099" s="93" t="str">
        <f t="shared" si="7"/>
        <v>Wooden scrap (without iron parts), Lying at OL Ropar. Quantity in MT - 15.312</v>
      </c>
    </row>
    <row r="1100" spans="1:8" ht="15" customHeight="1">
      <c r="A1100" s="321" t="s">
        <v>710</v>
      </c>
      <c r="B1100" s="321"/>
      <c r="C1100" s="383" t="s">
        <v>57</v>
      </c>
      <c r="D1100" s="383"/>
      <c r="E1100" s="46">
        <v>3</v>
      </c>
      <c r="H1100" s="93" t="str">
        <f t="shared" si="7"/>
        <v>Wooden scrap (without iron parts), Lying at S &amp; T Store Bathinda. Quantity in MT - 3</v>
      </c>
    </row>
    <row r="1101" spans="1:8" ht="15" customHeight="1" thickBot="1">
      <c r="A1101" s="321" t="s">
        <v>777</v>
      </c>
      <c r="B1101" s="321"/>
      <c r="C1101" s="338" t="s">
        <v>52</v>
      </c>
      <c r="D1101" s="338"/>
      <c r="E1101" s="303">
        <v>3.56</v>
      </c>
      <c r="F1101" s="1" t="s">
        <v>711</v>
      </c>
      <c r="H1101" s="93" t="str">
        <f t="shared" si="7"/>
        <v>Wooden scrap (without iron parts), Lying at CS Patiala. Quantity in MT - 3.56</v>
      </c>
    </row>
    <row r="1102" spans="1:8" ht="15" customHeight="1" thickBot="1">
      <c r="A1102" s="403" t="s">
        <v>14</v>
      </c>
      <c r="B1102" s="404"/>
      <c r="C1102" s="305"/>
      <c r="D1102" s="305"/>
      <c r="E1102" s="160">
        <f>SUM(E1083:E1101)</f>
        <v>61.34</v>
      </c>
      <c r="H1102" s="93"/>
    </row>
    <row r="1103" spans="1:8" ht="15" customHeight="1">
      <c r="A1103" s="19"/>
      <c r="B1103" s="19"/>
      <c r="C1103" s="15"/>
      <c r="D1103" s="15"/>
      <c r="E1103" s="161"/>
      <c r="H1103" s="1"/>
    </row>
    <row r="1104" spans="1:8" ht="15" customHeight="1">
      <c r="A1104" s="347" t="s">
        <v>11</v>
      </c>
      <c r="B1104" s="348"/>
      <c r="C1104" s="348"/>
      <c r="D1104" s="348"/>
      <c r="E1104" s="348"/>
      <c r="H1104" s="1"/>
    </row>
    <row r="1105" spans="1:8" ht="15" customHeight="1">
      <c r="A1105" s="16"/>
      <c r="B1105" s="17"/>
      <c r="C1105" s="17"/>
      <c r="D1105" s="17"/>
      <c r="E1105" s="17"/>
      <c r="H1105" s="1"/>
    </row>
    <row r="1106" spans="1:8" ht="15" customHeight="1">
      <c r="A1106" s="397" t="s">
        <v>8</v>
      </c>
      <c r="B1106" s="398"/>
      <c r="C1106" s="398"/>
      <c r="D1106" s="398"/>
      <c r="E1106" s="398"/>
      <c r="F1106" s="227"/>
      <c r="G1106" s="227"/>
      <c r="H1106" s="1"/>
    </row>
    <row r="1107" spans="1:8" ht="15" customHeight="1">
      <c r="A1107" s="40" t="s">
        <v>5</v>
      </c>
      <c r="B1107" s="330" t="s">
        <v>17</v>
      </c>
      <c r="C1107" s="330"/>
      <c r="D1107" s="296" t="s">
        <v>18</v>
      </c>
      <c r="E1107" s="39" t="s">
        <v>76</v>
      </c>
      <c r="H1107" s="1"/>
    </row>
    <row r="1108" spans="1:8" ht="15" customHeight="1">
      <c r="A1108" s="40" t="s">
        <v>78</v>
      </c>
      <c r="B1108" s="383" t="s">
        <v>108</v>
      </c>
      <c r="C1108" s="383"/>
      <c r="D1108" s="40" t="s">
        <v>77</v>
      </c>
      <c r="E1108" s="157">
        <v>50</v>
      </c>
      <c r="H1108" s="93" t="str">
        <f>CONCATENATE("CT/PT Units, Lying at ",B1108,". Quantity in No - ",E1108,)</f>
        <v>CT/PT Units, Lying at Central Store Kotkapura. Quantity in No - 50</v>
      </c>
    </row>
    <row r="1109" spans="1:8" ht="15" customHeight="1">
      <c r="A1109" s="39"/>
      <c r="B1109" s="78"/>
      <c r="C1109" s="78"/>
      <c r="D1109" s="41"/>
      <c r="E1109" s="158"/>
      <c r="H1109" s="93"/>
    </row>
    <row r="1110" spans="1:8" ht="15" customHeight="1">
      <c r="A1110" s="40" t="s">
        <v>5</v>
      </c>
      <c r="B1110" s="330" t="s">
        <v>17</v>
      </c>
      <c r="C1110" s="330"/>
      <c r="D1110" s="296" t="s">
        <v>18</v>
      </c>
      <c r="E1110" s="39" t="s">
        <v>76</v>
      </c>
      <c r="H1110" s="1"/>
    </row>
    <row r="1111" spans="1:8" ht="15" customHeight="1">
      <c r="A1111" s="40" t="s">
        <v>121</v>
      </c>
      <c r="B1111" s="383" t="s">
        <v>159</v>
      </c>
      <c r="C1111" s="383"/>
      <c r="D1111" s="40" t="s">
        <v>77</v>
      </c>
      <c r="E1111" s="157">
        <v>35</v>
      </c>
      <c r="H1111" s="93" t="str">
        <f>CONCATENATE("CT/PT Units, Lying at ",B1111,". Quantity in No - ",E1111,)</f>
        <v>CT/PT Units, Lying at Central Store Patiala. Quantity in No - 35</v>
      </c>
    </row>
    <row r="1112" spans="1:8" ht="15" customHeight="1">
      <c r="A1112" s="39"/>
      <c r="B1112" s="84"/>
      <c r="C1112" s="84"/>
      <c r="D1112" s="41"/>
      <c r="E1112" s="158"/>
      <c r="H1112" s="1"/>
    </row>
    <row r="1113" spans="1:8" ht="15" customHeight="1">
      <c r="A1113" s="40" t="s">
        <v>5</v>
      </c>
      <c r="B1113" s="330" t="s">
        <v>17</v>
      </c>
      <c r="C1113" s="330"/>
      <c r="D1113" s="296" t="s">
        <v>18</v>
      </c>
      <c r="E1113" s="39" t="s">
        <v>76</v>
      </c>
      <c r="H1113" s="1"/>
    </row>
    <row r="1114" spans="1:8" ht="15" customHeight="1">
      <c r="A1114" s="40" t="s">
        <v>197</v>
      </c>
      <c r="B1114" s="383" t="s">
        <v>185</v>
      </c>
      <c r="C1114" s="383"/>
      <c r="D1114" s="308" t="s">
        <v>77</v>
      </c>
      <c r="E1114" s="270">
        <v>80</v>
      </c>
      <c r="F1114" s="1">
        <v>74</v>
      </c>
      <c r="H1114" s="93" t="str">
        <f>CONCATENATE("CT/PT Units, Lying at ",B1114,". Quantity in No - ",E1114,)</f>
        <v>CT/PT Units, Lying at Outlet store Ropar. Quantity in No - 80</v>
      </c>
    </row>
    <row r="1115" spans="1:8" ht="15" customHeight="1">
      <c r="A1115" s="39"/>
      <c r="B1115" s="84"/>
      <c r="C1115" s="84"/>
      <c r="D1115" s="307"/>
      <c r="E1115" s="162"/>
      <c r="H1115" s="1"/>
    </row>
    <row r="1116" spans="1:8" ht="15" customHeight="1">
      <c r="A1116" s="40" t="s">
        <v>5</v>
      </c>
      <c r="B1116" s="330" t="s">
        <v>17</v>
      </c>
      <c r="C1116" s="330"/>
      <c r="D1116" s="296" t="s">
        <v>18</v>
      </c>
      <c r="E1116" s="39" t="s">
        <v>76</v>
      </c>
      <c r="H1116" s="1"/>
    </row>
    <row r="1117" spans="1:8" ht="15" customHeight="1">
      <c r="A1117" s="40" t="s">
        <v>206</v>
      </c>
      <c r="B1117" s="383" t="s">
        <v>209</v>
      </c>
      <c r="C1117" s="383"/>
      <c r="D1117" s="40" t="s">
        <v>77</v>
      </c>
      <c r="E1117" s="157">
        <v>67</v>
      </c>
      <c r="H1117" s="93" t="str">
        <f>CONCATENATE("CT/PT Units, Lying at ",B1117,". Quantity in No - ",E1117,)</f>
        <v>CT/PT Units, Lying at Central Store Sangrur. Quantity in No - 67</v>
      </c>
    </row>
    <row r="1118" spans="1:8" ht="15" customHeight="1">
      <c r="A1118" s="39"/>
      <c r="B1118" s="84"/>
      <c r="C1118" s="84"/>
      <c r="D1118" s="41"/>
      <c r="E1118" s="158"/>
      <c r="H1118" s="1"/>
    </row>
    <row r="1119" spans="1:8" ht="15" customHeight="1">
      <c r="A1119" s="40" t="s">
        <v>5</v>
      </c>
      <c r="B1119" s="330" t="s">
        <v>17</v>
      </c>
      <c r="C1119" s="330"/>
      <c r="D1119" s="296" t="s">
        <v>18</v>
      </c>
      <c r="E1119" s="39" t="s">
        <v>76</v>
      </c>
      <c r="H1119" s="1"/>
    </row>
    <row r="1120" spans="1:8" ht="15" customHeight="1">
      <c r="A1120" s="40" t="s">
        <v>272</v>
      </c>
      <c r="B1120" s="383" t="s">
        <v>282</v>
      </c>
      <c r="C1120" s="383"/>
      <c r="D1120" s="308" t="s">
        <v>77</v>
      </c>
      <c r="E1120" s="270">
        <v>65</v>
      </c>
      <c r="F1120" s="1">
        <v>50</v>
      </c>
      <c r="H1120" s="93" t="str">
        <f>CONCATENATE("CT/PT Units, Lying at ",B1120,". Quantity in No - ",E1120,)</f>
        <v>CT/PT Units, Lying at Central Store Bathinda. Quantity in No - 65</v>
      </c>
    </row>
    <row r="1121" spans="1:8" ht="15" customHeight="1">
      <c r="A1121" s="39"/>
      <c r="B1121" s="84"/>
      <c r="C1121" s="84"/>
      <c r="D1121" s="41"/>
      <c r="E1121" s="158"/>
      <c r="G1121" s="227"/>
      <c r="H1121" s="1"/>
    </row>
    <row r="1122" spans="1:8" ht="15" customHeight="1">
      <c r="A1122" s="40" t="s">
        <v>5</v>
      </c>
      <c r="B1122" s="330" t="s">
        <v>17</v>
      </c>
      <c r="C1122" s="330"/>
      <c r="D1122" s="296" t="s">
        <v>18</v>
      </c>
      <c r="E1122" s="39" t="s">
        <v>76</v>
      </c>
      <c r="F1122" s="227"/>
      <c r="H1122" s="1"/>
    </row>
    <row r="1123" spans="1:8" ht="15" customHeight="1">
      <c r="A1123" s="40" t="s">
        <v>283</v>
      </c>
      <c r="B1123" s="383" t="s">
        <v>108</v>
      </c>
      <c r="C1123" s="383"/>
      <c r="D1123" s="40" t="s">
        <v>273</v>
      </c>
      <c r="E1123" s="157">
        <v>168</v>
      </c>
      <c r="H1123" s="93" t="str">
        <f>CONCATENATE("Empty steel drums (cap 209 ltrs), Lying at ",B1123,". Quantity in No - ",E1123,)</f>
        <v>Empty steel drums (cap 209 ltrs), Lying at Central Store Kotkapura. Quantity in No - 168</v>
      </c>
    </row>
    <row r="1124" spans="1:8" ht="15" customHeight="1">
      <c r="A1124" s="39"/>
      <c r="B1124" s="84"/>
      <c r="C1124" s="84"/>
      <c r="D1124" s="41"/>
      <c r="E1124" s="158"/>
      <c r="H1124" s="1"/>
    </row>
    <row r="1125" spans="1:8" ht="15" customHeight="1">
      <c r="A1125" s="40" t="s">
        <v>5</v>
      </c>
      <c r="B1125" s="330" t="s">
        <v>17</v>
      </c>
      <c r="C1125" s="330"/>
      <c r="D1125" s="296" t="s">
        <v>18</v>
      </c>
      <c r="E1125" s="39" t="s">
        <v>76</v>
      </c>
      <c r="H1125" s="1"/>
    </row>
    <row r="1126" spans="1:8" ht="15" customHeight="1">
      <c r="A1126" s="40" t="s">
        <v>306</v>
      </c>
      <c r="B1126" s="383" t="s">
        <v>305</v>
      </c>
      <c r="C1126" s="383"/>
      <c r="D1126" s="40" t="s">
        <v>273</v>
      </c>
      <c r="E1126" s="157">
        <v>53</v>
      </c>
      <c r="H1126" s="93" t="str">
        <f>CONCATENATE("Empty steel drums (cap 209 ltrs), Lying at ",B1126,". Quantity in No - ",E1126,)</f>
        <v>Empty steel drums (cap 209 ltrs), Lying at Central Store Malout. Quantity in No - 53</v>
      </c>
    </row>
    <row r="1127" spans="1:8" ht="15" customHeight="1">
      <c r="A1127" s="39"/>
      <c r="B1127" s="84"/>
      <c r="C1127" s="84"/>
      <c r="D1127" s="307"/>
      <c r="E1127" s="162"/>
      <c r="H1127" s="1"/>
    </row>
    <row r="1128" spans="1:8" ht="15" customHeight="1">
      <c r="A1128" s="40" t="s">
        <v>5</v>
      </c>
      <c r="B1128" s="330" t="s">
        <v>17</v>
      </c>
      <c r="C1128" s="330"/>
      <c r="D1128" s="296" t="s">
        <v>18</v>
      </c>
      <c r="E1128" s="39" t="s">
        <v>76</v>
      </c>
      <c r="H1128" s="1"/>
    </row>
    <row r="1129" spans="1:8" ht="15" customHeight="1">
      <c r="A1129" s="40" t="s">
        <v>315</v>
      </c>
      <c r="B1129" s="383" t="s">
        <v>185</v>
      </c>
      <c r="C1129" s="383"/>
      <c r="D1129" s="40" t="s">
        <v>273</v>
      </c>
      <c r="E1129" s="157">
        <v>13</v>
      </c>
      <c r="F1129" s="94"/>
      <c r="G1129" s="94"/>
      <c r="H1129" s="93" t="str">
        <f>CONCATENATE("Empty steel drums (cap 209 ltrs), Lying at ",B1129,". Quantity in No - ",E1129,)</f>
        <v>Empty steel drums (cap 209 ltrs), Lying at Outlet store Ropar. Quantity in No - 13</v>
      </c>
    </row>
    <row r="1130" spans="1:8" ht="15" customHeight="1">
      <c r="A1130" s="39"/>
      <c r="B1130" s="84"/>
      <c r="C1130" s="84"/>
      <c r="D1130" s="41"/>
      <c r="E1130" s="158"/>
      <c r="F1130" s="264"/>
      <c r="G1130" s="264"/>
      <c r="H1130" s="166"/>
    </row>
    <row r="1131" spans="1:8" ht="15" customHeight="1">
      <c r="A1131" s="40" t="s">
        <v>5</v>
      </c>
      <c r="B1131" s="330" t="s">
        <v>17</v>
      </c>
      <c r="C1131" s="330"/>
      <c r="D1131" s="296" t="s">
        <v>18</v>
      </c>
      <c r="E1131" s="39" t="s">
        <v>76</v>
      </c>
      <c r="F1131" s="264"/>
      <c r="G1131" s="264"/>
      <c r="H1131" s="166"/>
    </row>
    <row r="1132" spans="1:8" ht="15" customHeight="1">
      <c r="A1132" s="40" t="s">
        <v>675</v>
      </c>
      <c r="B1132" s="383" t="s">
        <v>57</v>
      </c>
      <c r="C1132" s="383"/>
      <c r="D1132" s="40" t="s">
        <v>273</v>
      </c>
      <c r="E1132" s="157">
        <v>121</v>
      </c>
      <c r="F1132" s="264"/>
      <c r="G1132" s="264"/>
      <c r="H1132" s="93" t="str">
        <f>CONCATENATE("Empty steel drums (cap 209 ltrs), Lying at ",B1132,". Quantity in No - ",E1132,)</f>
        <v>Empty steel drums (cap 209 ltrs), Lying at S &amp; T Store Bathinda. Quantity in No - 121</v>
      </c>
    </row>
    <row r="1133" spans="1:8" ht="12.75" customHeight="1">
      <c r="A1133" s="39"/>
      <c r="B1133" s="84"/>
      <c r="C1133" s="84"/>
      <c r="D1133" s="307"/>
      <c r="E1133" s="162"/>
      <c r="H1133" s="95"/>
    </row>
    <row r="1134" spans="1:8" ht="12.75" customHeight="1">
      <c r="A1134" s="327" t="s">
        <v>16</v>
      </c>
      <c r="B1134" s="328"/>
      <c r="C1134" s="328"/>
      <c r="D1134" s="328"/>
      <c r="E1134" s="328"/>
      <c r="H1134" s="1"/>
    </row>
    <row r="1135" spans="1:8" ht="12.75" customHeight="1">
      <c r="A1135" s="20"/>
      <c r="B1135" s="21"/>
      <c r="C1135" s="21"/>
      <c r="D1135" s="21"/>
      <c r="E1135" s="21"/>
      <c r="H1135" s="1"/>
    </row>
    <row r="1136" spans="1:8" ht="25.5" customHeight="1">
      <c r="A1136" s="399" t="s">
        <v>15</v>
      </c>
      <c r="B1136" s="400"/>
      <c r="C1136" s="400"/>
      <c r="D1136" s="400"/>
      <c r="E1136" s="400"/>
      <c r="H1136" s="1"/>
    </row>
    <row r="1137" spans="1:8" ht="15" customHeight="1">
      <c r="A1137" s="301"/>
      <c r="B1137" s="302"/>
      <c r="C1137" s="302"/>
      <c r="D1137" s="302"/>
      <c r="E1137" s="302"/>
      <c r="H1137" s="1"/>
    </row>
    <row r="1138" spans="1:8" ht="15" customHeight="1">
      <c r="A1138" s="373" t="s">
        <v>49</v>
      </c>
      <c r="B1138" s="374"/>
      <c r="C1138" s="374"/>
      <c r="D1138" s="374"/>
      <c r="E1138" s="374"/>
      <c r="H1138" s="1"/>
    </row>
    <row r="1139" spans="1:8" ht="36.75" customHeight="1">
      <c r="A1139" s="14" t="s">
        <v>5</v>
      </c>
      <c r="B1139" s="14" t="s">
        <v>1</v>
      </c>
      <c r="C1139" s="14" t="s">
        <v>2</v>
      </c>
      <c r="D1139" s="14" t="s">
        <v>3</v>
      </c>
      <c r="E1139" s="163" t="s">
        <v>4</v>
      </c>
      <c r="H1139" s="1"/>
    </row>
    <row r="1140" spans="1:8" ht="29.25" customHeight="1">
      <c r="A1140" s="11" t="s">
        <v>109</v>
      </c>
      <c r="B1140" s="11" t="s">
        <v>88</v>
      </c>
      <c r="C1140" s="11" t="s">
        <v>105</v>
      </c>
      <c r="D1140" s="11" t="s">
        <v>89</v>
      </c>
      <c r="E1140" s="24" t="s">
        <v>253</v>
      </c>
      <c r="H1140" s="100" t="str">
        <f>CONCATENATE("Condemned/obsolete Vehicles  (Without RC )--- ",B1140," ",C1140," ",E1140," ",)</f>
        <v>Condemned/obsolete Vehicles  (Without RC )--- PB-11 AH-0925 HONDA CIVIC CAR (PETROL) 2008 …. CE/ TA &amp; I PSPCL PATIALA 96461-19587 </v>
      </c>
    </row>
    <row r="1141" spans="1:8" ht="29.25" customHeight="1">
      <c r="A1141" s="11" t="s">
        <v>151</v>
      </c>
      <c r="B1141" s="23" t="s">
        <v>148</v>
      </c>
      <c r="C1141" s="23" t="s">
        <v>149</v>
      </c>
      <c r="D1141" s="23" t="s">
        <v>150</v>
      </c>
      <c r="E1141" s="87" t="s">
        <v>254</v>
      </c>
      <c r="H1141" s="100" t="str">
        <f>CONCATENATE("Condemned/obsolete Vehicles  (Without RC )--- ",B1141," ",C1141," ",E1141," ",)</f>
        <v>Condemned/obsolete Vehicles  (Without RC )--- PB-05 F-9520 MINI TRUCK EICHER DIESEL (1999) ….. DS S/D MAMDOT PSPCL FEROZEPUR MOB 9646114589 </v>
      </c>
    </row>
    <row r="1142" spans="1:8" ht="29.25" customHeight="1">
      <c r="A1142" s="11" t="s">
        <v>154</v>
      </c>
      <c r="B1142" s="23" t="s">
        <v>155</v>
      </c>
      <c r="C1142" s="23" t="s">
        <v>156</v>
      </c>
      <c r="D1142" s="23" t="s">
        <v>157</v>
      </c>
      <c r="E1142" s="87" t="s">
        <v>255</v>
      </c>
      <c r="F1142" s="98"/>
      <c r="G1142" s="98"/>
      <c r="H1142" s="100" t="str">
        <f>CONCATENATE("Condemned/obsolete Vehicles  (Without RC )--- ",B1142," ",C1142," ",E1142," ",)</f>
        <v>Condemned/obsolete Vehicles  (Without RC )--- PB-03 N-5547 AMBASSADOR CAR DIESEL (2005) ….. DS DIVISION BADAL 96461-14534 </v>
      </c>
    </row>
    <row r="1143" spans="1:15" ht="15" customHeight="1">
      <c r="A1143" s="18"/>
      <c r="B1143" s="22"/>
      <c r="C1143" s="22"/>
      <c r="D1143" s="18"/>
      <c r="E1143" s="164"/>
      <c r="F1143" s="98"/>
      <c r="G1143" s="98"/>
      <c r="H1143" s="98"/>
      <c r="I1143" s="98"/>
      <c r="J1143" s="98"/>
      <c r="K1143" s="98"/>
      <c r="L1143" s="98"/>
      <c r="M1143" s="98"/>
      <c r="N1143" s="98"/>
      <c r="O1143" s="98"/>
    </row>
    <row r="1144" spans="1:15" ht="15" customHeight="1">
      <c r="A1144" s="405" t="s">
        <v>50</v>
      </c>
      <c r="B1144" s="406"/>
      <c r="C1144" s="406"/>
      <c r="D1144" s="406"/>
      <c r="E1144" s="406"/>
      <c r="F1144" s="120"/>
      <c r="H1144" s="98"/>
      <c r="I1144" s="98"/>
      <c r="J1144" s="98"/>
      <c r="K1144" s="98"/>
      <c r="L1144" s="98"/>
      <c r="M1144" s="98"/>
      <c r="N1144" s="98"/>
      <c r="O1144" s="98"/>
    </row>
    <row r="1145" spans="1:8" ht="15" customHeight="1">
      <c r="A1145" s="387" t="s">
        <v>106</v>
      </c>
      <c r="B1145" s="388"/>
      <c r="C1145" s="388"/>
      <c r="D1145" s="388"/>
      <c r="E1145" s="388"/>
      <c r="F1145" s="120"/>
      <c r="H1145" s="1"/>
    </row>
    <row r="1146" spans="1:8" ht="15" customHeight="1">
      <c r="A1146" s="6"/>
      <c r="B1146" s="7"/>
      <c r="C1146" s="7"/>
      <c r="D1146" s="7"/>
      <c r="E1146" s="7"/>
      <c r="F1146" s="120"/>
      <c r="G1146" s="120"/>
      <c r="H1146" s="1"/>
    </row>
    <row r="1147" spans="1:20" ht="15" customHeight="1">
      <c r="A1147" s="327" t="s">
        <v>25</v>
      </c>
      <c r="B1147" s="328"/>
      <c r="C1147" s="328"/>
      <c r="D1147" s="328"/>
      <c r="E1147" s="328"/>
      <c r="H1147" s="1"/>
      <c r="Q1147" s="386"/>
      <c r="R1147" s="386"/>
      <c r="S1147" s="386"/>
      <c r="T1147" s="386"/>
    </row>
    <row r="1148" spans="1:8" ht="15" customHeight="1">
      <c r="A1148" s="61"/>
      <c r="B1148" s="61"/>
      <c r="C1148" s="62"/>
      <c r="D1148" s="62"/>
      <c r="E1148" s="63">
        <f>SUM(E1150:E1153)</f>
        <v>4.129</v>
      </c>
      <c r="G1148" s="253"/>
      <c r="H1148" s="253"/>
    </row>
    <row r="1149" spans="1:18" ht="17.25" customHeight="1">
      <c r="A1149" s="325" t="s">
        <v>5</v>
      </c>
      <c r="B1149" s="331"/>
      <c r="C1149" s="64" t="s">
        <v>17</v>
      </c>
      <c r="D1149" s="65" t="s">
        <v>18</v>
      </c>
      <c r="E1149" s="68" t="s">
        <v>7</v>
      </c>
      <c r="F1149" s="98"/>
      <c r="G1149" s="166" t="str">
        <f>CONCATENATE("Misc. Healthy parts/ Non Ferrous  Scrap, Lying at ",C1150,". Quantity in MT - ")</f>
        <v>Misc. Healthy parts/ Non Ferrous  Scrap, Lying at TRY Bathinda. Quantity in MT - </v>
      </c>
      <c r="H1149" s="324" t="str">
        <f ca="1">CONCATENATE(G1149,G1150,(INDIRECT(I1150)),(INDIRECT(J1150)),(INDIRECT(K1150)),(INDIRECT(L1150)),(INDIRECT(M1150)),(INDIRECT(N1150)),(INDIRECT(O1150)),(INDIRECT(P1150)),(INDIRECT(Q1150)),(INDIRECT(R1150)),".")</f>
        <v>Misc. Healthy parts/ Non Ferrous  Scrap, Lying at TRY Bathinda. Quantity in MT - Brass scrap - 2.683, Misc. Aluminium scrap - 0.893, Burnt Cu scrap - 0.203, Nuts &amp; Bolts scrap - 0.35, .</v>
      </c>
      <c r="I1149" s="98" t="str">
        <f aca="true" ca="1" t="array" ref="I1149">CELL("address",INDEX(G1149:G1170,MATCH(TRUE,ISBLANK(G1149:G1170),0)))</f>
        <v>$G$1154</v>
      </c>
      <c r="J1149" s="98">
        <f aca="true" t="array" ref="J1149">MATCH(TRUE,ISBLANK(G1149:G1170),0)</f>
        <v>6</v>
      </c>
      <c r="K1149" s="98">
        <f>J1149-3</f>
        <v>3</v>
      </c>
      <c r="L1149" s="98"/>
      <c r="M1149" s="98"/>
      <c r="N1149" s="98"/>
      <c r="O1149" s="98"/>
      <c r="P1149" s="98"/>
      <c r="Q1149" s="98"/>
      <c r="R1149" s="98"/>
    </row>
    <row r="1150" spans="1:18" ht="17.25" customHeight="1">
      <c r="A1150" s="321" t="s">
        <v>34</v>
      </c>
      <c r="B1150" s="321"/>
      <c r="C1150" s="330" t="s">
        <v>36</v>
      </c>
      <c r="D1150" s="40" t="s">
        <v>23</v>
      </c>
      <c r="E1150" s="69">
        <v>2.683</v>
      </c>
      <c r="F1150" s="98"/>
      <c r="G1150" s="101" t="str">
        <f>CONCATENATE(D1150," - ",E1150,", ")</f>
        <v>Brass scrap - 2.683, </v>
      </c>
      <c r="H1150" s="324"/>
      <c r="I1150" s="98" t="str">
        <f ca="1">IF(J1149&gt;=3,(MID(I1149,2,1)&amp;MID(I1149,4,4)-K1149),CELL("address",Z1150))</f>
        <v>G1151</v>
      </c>
      <c r="J1150" s="98" t="str">
        <f ca="1">IF(J1149&gt;=4,(MID(I1150,1,1)&amp;MID(I1150,2,4)+1),CELL("address",AA1150))</f>
        <v>G1152</v>
      </c>
      <c r="K1150" s="98" t="str">
        <f ca="1">IF(J1149&gt;=5,(MID(J1150,1,1)&amp;MID(J1150,2,4)+1),CELL("address",AB1150))</f>
        <v>G1153</v>
      </c>
      <c r="L1150" s="98" t="str">
        <f ca="1">IF(J1149&gt;=6,(MID(K1150,1,1)&amp;MID(K1150,2,4)+1),CELL("address",AC1150))</f>
        <v>G1154</v>
      </c>
      <c r="M1150" s="98" t="str">
        <f ca="1">IF(J1149&gt;=7,(MID(L1150,1,1)&amp;MID(L1150,2,4)+1),CELL("address",AD1150))</f>
        <v>$AD$1150</v>
      </c>
      <c r="N1150" s="98" t="str">
        <f ca="1">IF(J1149&gt;=8,(MID(M1150,1,1)&amp;MID(M1150,2,4)+1),CELL("address",AE1150))</f>
        <v>$AE$1150</v>
      </c>
      <c r="O1150" s="98" t="str">
        <f ca="1">IF(J1149&gt;=9,(MID(N1150,1,1)&amp;MID(N1150,2,4)+1),CELL("address",AF1150))</f>
        <v>$AF$1150</v>
      </c>
      <c r="P1150" s="98" t="str">
        <f ca="1">IF(J1149&gt;=10,(MID(O1150,1,1)&amp;MID(O1150,2,4)+1),CELL("address",AG1150))</f>
        <v>$AG$1150</v>
      </c>
      <c r="Q1150" s="98" t="str">
        <f ca="1">IF(J1149&gt;=11,(MID(P1150,1,1)&amp;MID(P1150,2,4)+1),CELL("address",AH1150))</f>
        <v>$AH$1150</v>
      </c>
      <c r="R1150" s="98" t="str">
        <f ca="1">IF(J1149&gt;=12,(MID(Q1150,1,1)&amp;MID(Q1150,2,4)+1),CELL("address",AI1150))</f>
        <v>$AI$1150</v>
      </c>
    </row>
    <row r="1151" spans="1:15" ht="17.25" customHeight="1">
      <c r="A1151" s="321"/>
      <c r="B1151" s="321"/>
      <c r="C1151" s="330"/>
      <c r="D1151" s="40" t="s">
        <v>24</v>
      </c>
      <c r="E1151" s="69">
        <v>0.893</v>
      </c>
      <c r="G1151" s="101" t="str">
        <f>CONCATENATE(D1151," - ",E1151,", ")</f>
        <v>Misc. Aluminium scrap - 0.893, </v>
      </c>
      <c r="H1151" s="98"/>
      <c r="I1151" s="98"/>
      <c r="J1151" s="98"/>
      <c r="K1151" s="98"/>
      <c r="L1151" s="98"/>
      <c r="M1151" s="98"/>
      <c r="N1151" s="98"/>
      <c r="O1151" s="98"/>
    </row>
    <row r="1152" spans="1:8" ht="17.25" customHeight="1">
      <c r="A1152" s="321"/>
      <c r="B1152" s="321"/>
      <c r="C1152" s="330"/>
      <c r="D1152" s="40" t="s">
        <v>37</v>
      </c>
      <c r="E1152" s="69">
        <v>0.203</v>
      </c>
      <c r="G1152" s="101" t="str">
        <f>CONCATENATE(D1152," - ",E1152,", ")</f>
        <v>Burnt Cu scrap - 0.203, </v>
      </c>
      <c r="H1152" s="1"/>
    </row>
    <row r="1153" spans="1:8" ht="17.25" customHeight="1">
      <c r="A1153" s="321"/>
      <c r="B1153" s="321"/>
      <c r="C1153" s="330"/>
      <c r="D1153" s="40" t="s">
        <v>58</v>
      </c>
      <c r="E1153" s="69">
        <v>0.35</v>
      </c>
      <c r="G1153" s="101" t="str">
        <f>CONCATENATE(D1153," - ",E1153,", ")</f>
        <v>Nuts &amp; Bolts scrap - 0.35, </v>
      </c>
      <c r="H1153" s="1"/>
    </row>
    <row r="1154" spans="1:8" ht="17.25" customHeight="1">
      <c r="A1154" s="325"/>
      <c r="B1154" s="331"/>
      <c r="C1154" s="296"/>
      <c r="D1154" s="40"/>
      <c r="E1154" s="69"/>
      <c r="H1154" s="1"/>
    </row>
    <row r="1155" spans="1:8" ht="15" customHeight="1">
      <c r="A1155" s="332"/>
      <c r="B1155" s="333"/>
      <c r="C1155" s="66"/>
      <c r="D1155" s="66"/>
      <c r="E1155" s="118">
        <f>SUM(E1157:E1162)</f>
        <v>12.472</v>
      </c>
      <c r="H1155" s="1"/>
    </row>
    <row r="1156" spans="1:18" ht="15" customHeight="1">
      <c r="A1156" s="322" t="s">
        <v>5</v>
      </c>
      <c r="B1156" s="323"/>
      <c r="C1156" s="64" t="s">
        <v>17</v>
      </c>
      <c r="D1156" s="65" t="s">
        <v>18</v>
      </c>
      <c r="E1156" s="68" t="s">
        <v>7</v>
      </c>
      <c r="G1156" s="166" t="str">
        <f>CONCATENATE("Misc. Healthy parts/ Non Ferrous  Scrap, Lying at ",C1157,". Quantity in MT - ")</f>
        <v>Misc. Healthy parts/ Non Ferrous  Scrap, Lying at TRY Ferozepur. Quantity in MT - </v>
      </c>
      <c r="H1156" s="324" t="str">
        <f ca="1">CONCATENATE(G1156,G1157,(INDIRECT(I1157)),(INDIRECT(J1157)),(INDIRECT(K1157)),(INDIRECT(L1157)),(INDIRECT(M1157)),(INDIRECT(N1157)),(INDIRECT(O1157)),(INDIRECT(P1157)),(INDIRECT(Q1157)),(INDIRECT(R1157)),".")</f>
        <v>Misc. Healthy parts/ Non Ferrous  Scrap, Lying at TRY Ferozepur. Quantity in MT - Brass scrap - 5.28, Misc. Aluminium scrap - 0.941, Iron scrap - 0.668, Burnt Cu scrap - 0.239, Nuts &amp; Bolts scrap - 4.174, Teen Patra scrap - 1.17, .</v>
      </c>
      <c r="I1156" s="98" t="str">
        <f aca="true" ca="1" t="array" ref="I1156">CELL("address",INDEX(G1156:G1177,MATCH(TRUE,ISBLANK(G1156:G1177),0)))</f>
        <v>$G$1163</v>
      </c>
      <c r="J1156" s="98">
        <f aca="true" t="array" ref="J1156">MATCH(TRUE,ISBLANK(G1156:G1177),0)</f>
        <v>8</v>
      </c>
      <c r="K1156" s="98">
        <f>J1156-3</f>
        <v>5</v>
      </c>
      <c r="L1156" s="98"/>
      <c r="M1156" s="98"/>
      <c r="N1156" s="98"/>
      <c r="O1156" s="98"/>
      <c r="P1156" s="98"/>
      <c r="Q1156" s="98"/>
      <c r="R1156" s="98"/>
    </row>
    <row r="1157" spans="1:18" ht="15" customHeight="1">
      <c r="A1157" s="321" t="s">
        <v>110</v>
      </c>
      <c r="B1157" s="321"/>
      <c r="C1157" s="330" t="s">
        <v>42</v>
      </c>
      <c r="D1157" s="40" t="s">
        <v>23</v>
      </c>
      <c r="E1157" s="69">
        <v>5.28</v>
      </c>
      <c r="G1157" s="101" t="str">
        <f aca="true" t="shared" si="8" ref="G1157:G1162">CONCATENATE(D1157," - ",E1157,", ")</f>
        <v>Brass scrap - 5.28, </v>
      </c>
      <c r="H1157" s="324"/>
      <c r="I1157" s="98" t="str">
        <f ca="1">IF(J1156&gt;=3,(MID(I1156,2,1)&amp;MID(I1156,4,4)-K1156),CELL("address",Z1157))</f>
        <v>G1158</v>
      </c>
      <c r="J1157" s="98" t="str">
        <f ca="1">IF(J1156&gt;=4,(MID(I1157,1,1)&amp;MID(I1157,2,4)+1),CELL("address",AA1157))</f>
        <v>G1159</v>
      </c>
      <c r="K1157" s="98" t="str">
        <f ca="1">IF(J1156&gt;=5,(MID(J1157,1,1)&amp;MID(J1157,2,4)+1),CELL("address",AB1157))</f>
        <v>G1160</v>
      </c>
      <c r="L1157" s="98" t="str">
        <f ca="1">IF(J1156&gt;=6,(MID(K1157,1,1)&amp;MID(K1157,2,4)+1),CELL("address",AC1157))</f>
        <v>G1161</v>
      </c>
      <c r="M1157" s="98" t="str">
        <f ca="1">IF(J1156&gt;=7,(MID(L1157,1,1)&amp;MID(L1157,2,4)+1),CELL("address",AD1157))</f>
        <v>G1162</v>
      </c>
      <c r="N1157" s="98" t="str">
        <f ca="1">IF(J1156&gt;=8,(MID(M1157,1,1)&amp;MID(M1157,2,4)+1),CELL("address",AE1157))</f>
        <v>G1163</v>
      </c>
      <c r="O1157" s="98" t="str">
        <f ca="1">IF(J1156&gt;=9,(MID(N1157,1,1)&amp;MID(N1157,2,4)+1),CELL("address",AF1157))</f>
        <v>$AF$1157</v>
      </c>
      <c r="P1157" s="98" t="str">
        <f ca="1">IF(J1156&gt;=10,(MID(O1157,1,1)&amp;MID(O1157,2,4)+1),CELL("address",AG1157))</f>
        <v>$AG$1157</v>
      </c>
      <c r="Q1157" s="98" t="str">
        <f ca="1">IF(J1156&gt;=11,(MID(P1157,1,1)&amp;MID(P1157,2,4)+1),CELL("address",AH1157))</f>
        <v>$AH$1157</v>
      </c>
      <c r="R1157" s="98" t="str">
        <f ca="1">IF(J1156&gt;=12,(MID(Q1157,1,1)&amp;MID(Q1157,2,4)+1),CELL("address",AI1157))</f>
        <v>$AI$1157</v>
      </c>
    </row>
    <row r="1158" spans="1:15" ht="15" customHeight="1">
      <c r="A1158" s="321"/>
      <c r="B1158" s="321"/>
      <c r="C1158" s="330"/>
      <c r="D1158" s="40" t="s">
        <v>24</v>
      </c>
      <c r="E1158" s="69">
        <v>0.941</v>
      </c>
      <c r="F1158" s="98"/>
      <c r="G1158" s="101" t="str">
        <f t="shared" si="8"/>
        <v>Misc. Aluminium scrap - 0.941, </v>
      </c>
      <c r="H1158" s="1"/>
      <c r="I1158" s="98"/>
      <c r="J1158" s="98"/>
      <c r="K1158" s="98"/>
      <c r="L1158" s="98"/>
      <c r="M1158" s="98"/>
      <c r="N1158" s="98"/>
      <c r="O1158" s="98"/>
    </row>
    <row r="1159" spans="1:15" ht="15" customHeight="1">
      <c r="A1159" s="321"/>
      <c r="B1159" s="321"/>
      <c r="C1159" s="330"/>
      <c r="D1159" s="40" t="s">
        <v>27</v>
      </c>
      <c r="E1159" s="68">
        <v>0.668</v>
      </c>
      <c r="F1159" s="98"/>
      <c r="G1159" s="101" t="str">
        <f t="shared" si="8"/>
        <v>Iron scrap - 0.668, </v>
      </c>
      <c r="H1159" s="98"/>
      <c r="I1159" s="98"/>
      <c r="J1159" s="98"/>
      <c r="K1159" s="98"/>
      <c r="L1159" s="98"/>
      <c r="M1159" s="98"/>
      <c r="N1159" s="98"/>
      <c r="O1159" s="98"/>
    </row>
    <row r="1160" spans="1:15" ht="15" customHeight="1">
      <c r="A1160" s="321"/>
      <c r="B1160" s="321"/>
      <c r="C1160" s="330"/>
      <c r="D1160" s="40" t="s">
        <v>37</v>
      </c>
      <c r="E1160" s="68">
        <v>0.239</v>
      </c>
      <c r="G1160" s="101" t="str">
        <f t="shared" si="8"/>
        <v>Burnt Cu scrap - 0.239, </v>
      </c>
      <c r="H1160" s="98"/>
      <c r="I1160" s="98"/>
      <c r="J1160" s="98"/>
      <c r="K1160" s="98"/>
      <c r="L1160" s="98"/>
      <c r="M1160" s="98"/>
      <c r="N1160" s="98"/>
      <c r="O1160" s="98"/>
    </row>
    <row r="1161" spans="1:8" ht="15" customHeight="1">
      <c r="A1161" s="321"/>
      <c r="B1161" s="321"/>
      <c r="C1161" s="330"/>
      <c r="D1161" s="40" t="s">
        <v>58</v>
      </c>
      <c r="E1161" s="68">
        <v>4.174</v>
      </c>
      <c r="G1161" s="101" t="str">
        <f t="shared" si="8"/>
        <v>Nuts &amp; Bolts scrap - 4.174, </v>
      </c>
      <c r="H1161" s="1"/>
    </row>
    <row r="1162" spans="1:8" ht="15" customHeight="1">
      <c r="A1162" s="321"/>
      <c r="B1162" s="321"/>
      <c r="C1162" s="330"/>
      <c r="D1162" s="40" t="s">
        <v>64</v>
      </c>
      <c r="E1162" s="165">
        <v>1.17</v>
      </c>
      <c r="G1162" s="101" t="str">
        <f t="shared" si="8"/>
        <v>Teen Patra scrap - 1.17, </v>
      </c>
      <c r="H1162" s="1"/>
    </row>
    <row r="1163" spans="1:8" ht="15" customHeight="1">
      <c r="A1163" s="39"/>
      <c r="B1163" s="42"/>
      <c r="C1163" s="296"/>
      <c r="D1163" s="40"/>
      <c r="E1163" s="165"/>
      <c r="F1163" s="120"/>
      <c r="H1163" s="1"/>
    </row>
    <row r="1164" spans="1:8" ht="15" customHeight="1">
      <c r="A1164" s="332"/>
      <c r="B1164" s="333"/>
      <c r="C1164" s="66"/>
      <c r="D1164" s="66"/>
      <c r="E1164" s="118">
        <f>SUM(E1166:E1170)</f>
        <v>3.731</v>
      </c>
      <c r="F1164" s="120"/>
      <c r="H1164" s="1"/>
    </row>
    <row r="1165" spans="1:18" ht="15" customHeight="1">
      <c r="A1165" s="321" t="s">
        <v>5</v>
      </c>
      <c r="B1165" s="321"/>
      <c r="C1165" s="64" t="s">
        <v>17</v>
      </c>
      <c r="D1165" s="65" t="s">
        <v>18</v>
      </c>
      <c r="E1165" s="68" t="s">
        <v>7</v>
      </c>
      <c r="G1165" s="166" t="str">
        <f>CONCATENATE("Misc. Healthy parts/ Non Ferrous  Scrap, Lying at ",C1166,". Quantity in MT - ")</f>
        <v>Misc. Healthy parts/ Non Ferrous  Scrap, Lying at OL store Ropar. Quantity in MT - </v>
      </c>
      <c r="H1165" s="324" t="str">
        <f ca="1">CONCATENATE(G1165,G1166,(INDIRECT(I1166)),(INDIRECT(J1166)),(INDIRECT(K1166)),(INDIRECT(L1166)),(INDIRECT(M1166)),(INDIRECT(N1166)),(INDIRECT(O1166)),(INDIRECT(P1166)),(INDIRECT(Q1166)),(INDIRECT(R1166)),".")</f>
        <v>Misc. Healthy parts/ Non Ferrous  Scrap, Lying at OL store Ropar. Quantity in MT - Brass scrap - 2.473, Misc. Aluminium scrap - 0.346, Burnt Cu scrap - 0.298, All Alumn. Conductor Scrap - 0.347, Misc. Copper scrap - 0.267, .</v>
      </c>
      <c r="I1165" s="98" t="str">
        <f aca="true" ca="1" t="array" ref="I1165">CELL("address",INDEX(G1165:G1186,MATCH(TRUE,ISBLANK(G1165:G1186),0)))</f>
        <v>$G$1171</v>
      </c>
      <c r="J1165" s="98">
        <f aca="true" t="array" ref="J1165">MATCH(TRUE,ISBLANK(G1165:G1186),0)</f>
        <v>7</v>
      </c>
      <c r="K1165" s="98">
        <f>J1165-3</f>
        <v>4</v>
      </c>
      <c r="L1165" s="98"/>
      <c r="M1165" s="98"/>
      <c r="N1165" s="98"/>
      <c r="O1165" s="98"/>
      <c r="P1165" s="98"/>
      <c r="Q1165" s="98"/>
      <c r="R1165" s="98"/>
    </row>
    <row r="1166" spans="1:18" ht="15" customHeight="1">
      <c r="A1166" s="322" t="s">
        <v>26</v>
      </c>
      <c r="B1166" s="323"/>
      <c r="C1166" s="394" t="s">
        <v>46</v>
      </c>
      <c r="D1166" s="40" t="s">
        <v>23</v>
      </c>
      <c r="E1166" s="69">
        <v>2.473</v>
      </c>
      <c r="F1166" s="98"/>
      <c r="G1166" s="101" t="str">
        <f>CONCATENATE(D1166," - ",E1166,", ")</f>
        <v>Brass scrap - 2.473, </v>
      </c>
      <c r="H1166" s="324"/>
      <c r="I1166" s="98" t="str">
        <f ca="1">IF(J1165&gt;=3,(MID(I1165,2,1)&amp;MID(I1165,4,4)-K1165),CELL("address",Z1166))</f>
        <v>G1167</v>
      </c>
      <c r="J1166" s="98" t="str">
        <f ca="1">IF(J1165&gt;=4,(MID(I1166,1,1)&amp;MID(I1166,2,4)+1),CELL("address",AA1166))</f>
        <v>G1168</v>
      </c>
      <c r="K1166" s="98" t="str">
        <f ca="1">IF(J1165&gt;=5,(MID(J1166,1,1)&amp;MID(J1166,2,4)+1),CELL("address",AB1166))</f>
        <v>G1169</v>
      </c>
      <c r="L1166" s="98" t="str">
        <f ca="1">IF(J1165&gt;=6,(MID(K1166,1,1)&amp;MID(K1166,2,4)+1),CELL("address",AC1166))</f>
        <v>G1170</v>
      </c>
      <c r="M1166" s="98" t="str">
        <f ca="1">IF(J1165&gt;=7,(MID(L1166,1,1)&amp;MID(L1166,2,4)+1),CELL("address",AD1166))</f>
        <v>G1171</v>
      </c>
      <c r="N1166" s="98" t="str">
        <f ca="1">IF(J1165&gt;=8,(MID(M1166,1,1)&amp;MID(M1166,2,4)+1),CELL("address",AE1166))</f>
        <v>$AE$1166</v>
      </c>
      <c r="O1166" s="98" t="str">
        <f ca="1">IF(J1165&gt;=9,(MID(N1166,1,1)&amp;MID(N1166,2,4)+1),CELL("address",AF1166))</f>
        <v>$AF$1166</v>
      </c>
      <c r="P1166" s="98" t="str">
        <f ca="1">IF(J1165&gt;=10,(MID(O1166,1,1)&amp;MID(O1166,2,4)+1),CELL("address",AG1166))</f>
        <v>$AG$1166</v>
      </c>
      <c r="Q1166" s="98" t="str">
        <f ca="1">IF(J1165&gt;=11,(MID(P1166,1,1)&amp;MID(P1166,2,4)+1),CELL("address",AH1166))</f>
        <v>$AH$1166</v>
      </c>
      <c r="R1166" s="98" t="str">
        <f ca="1">IF(J1165&gt;=12,(MID(Q1166,1,1)&amp;MID(Q1166,2,4)+1),CELL("address",AI1166))</f>
        <v>$AI$1166</v>
      </c>
    </row>
    <row r="1167" spans="1:15" ht="15" customHeight="1">
      <c r="A1167" s="343"/>
      <c r="B1167" s="344"/>
      <c r="C1167" s="395"/>
      <c r="D1167" s="40" t="s">
        <v>24</v>
      </c>
      <c r="E1167" s="69">
        <v>0.346</v>
      </c>
      <c r="F1167" s="98"/>
      <c r="G1167" s="101" t="str">
        <f>CONCATENATE(D1167," - ",E1167,", ")</f>
        <v>Misc. Aluminium scrap - 0.346, </v>
      </c>
      <c r="H1167" s="98"/>
      <c r="I1167" s="98"/>
      <c r="J1167" s="98"/>
      <c r="K1167" s="98"/>
      <c r="L1167" s="98"/>
      <c r="M1167" s="98"/>
      <c r="N1167" s="98"/>
      <c r="O1167" s="98"/>
    </row>
    <row r="1168" spans="1:15" ht="15" customHeight="1">
      <c r="A1168" s="343"/>
      <c r="B1168" s="344"/>
      <c r="C1168" s="395"/>
      <c r="D1168" s="39" t="s">
        <v>37</v>
      </c>
      <c r="E1168" s="69">
        <v>0.298</v>
      </c>
      <c r="G1168" s="101" t="str">
        <f>CONCATENATE(D1168," - ",E1168,", ")</f>
        <v>Burnt Cu scrap - 0.298, </v>
      </c>
      <c r="H1168" s="98"/>
      <c r="I1168" s="98"/>
      <c r="J1168" s="98"/>
      <c r="K1168" s="98"/>
      <c r="L1168" s="98"/>
      <c r="M1168" s="98"/>
      <c r="N1168" s="98"/>
      <c r="O1168" s="98"/>
    </row>
    <row r="1169" spans="1:8" ht="15" customHeight="1">
      <c r="A1169" s="343"/>
      <c r="B1169" s="344"/>
      <c r="C1169" s="395"/>
      <c r="D1169" s="34" t="s">
        <v>32</v>
      </c>
      <c r="E1169" s="304">
        <v>0.347</v>
      </c>
      <c r="F1169" s="1">
        <v>0.343</v>
      </c>
      <c r="G1169" s="101" t="str">
        <f>CONCATENATE(D1169," - ",E1169,", ")</f>
        <v>All Alumn. Conductor Scrap - 0.347, </v>
      </c>
      <c r="H1169" s="1"/>
    </row>
    <row r="1170" spans="1:8" ht="15" customHeight="1">
      <c r="A1170" s="345"/>
      <c r="B1170" s="346"/>
      <c r="C1170" s="396"/>
      <c r="D1170" s="40" t="s">
        <v>45</v>
      </c>
      <c r="E1170" s="69">
        <v>0.267</v>
      </c>
      <c r="G1170" s="101" t="str">
        <f>CONCATENATE(D1170," - ",E1170,", ")</f>
        <v>Misc. Copper scrap - 0.267, </v>
      </c>
      <c r="H1170" s="1"/>
    </row>
    <row r="1171" spans="1:8" ht="15" customHeight="1">
      <c r="A1171" s="50"/>
      <c r="B1171" s="59"/>
      <c r="C1171" s="298"/>
      <c r="D1171" s="40"/>
      <c r="E1171" s="69"/>
      <c r="F1171" s="98"/>
      <c r="H1171" s="1"/>
    </row>
    <row r="1172" spans="1:15" ht="15" customHeight="1">
      <c r="A1172" s="332"/>
      <c r="B1172" s="333"/>
      <c r="C1172" s="66"/>
      <c r="D1172" s="66"/>
      <c r="E1172" s="118">
        <f>SUM(E1174:E1175)</f>
        <v>2.408</v>
      </c>
      <c r="F1172" s="98"/>
      <c r="G1172" s="98"/>
      <c r="H1172" s="98"/>
      <c r="I1172" s="98"/>
      <c r="J1172" s="98"/>
      <c r="K1172" s="98"/>
      <c r="L1172" s="98"/>
      <c r="M1172" s="98"/>
      <c r="N1172" s="98"/>
      <c r="O1172" s="98"/>
    </row>
    <row r="1173" spans="1:18" ht="15" customHeight="1">
      <c r="A1173" s="321" t="s">
        <v>5</v>
      </c>
      <c r="B1173" s="321"/>
      <c r="C1173" s="64" t="s">
        <v>17</v>
      </c>
      <c r="D1173" s="65" t="s">
        <v>18</v>
      </c>
      <c r="E1173" s="68" t="s">
        <v>7</v>
      </c>
      <c r="G1173" s="93" t="str">
        <f>CONCATENATE("Misc. Healthy parts/ Non Ferrous  Scrap, Lying at ",C1174,". Quantity in MT - ")</f>
        <v>Misc. Healthy parts/ Non Ferrous  Scrap, Lying at TRY Ferozepur. Quantity in MT - </v>
      </c>
      <c r="H1173" s="324" t="str">
        <f ca="1">CONCATENATE(G1173,G1174,(INDIRECT(I1174)),(INDIRECT(J1174)),(INDIRECT(K1174)),(INDIRECT(L1174)),(INDIRECT(M1174)),(INDIRECT(N1174)),(INDIRECT(O1174)),(INDIRECT(P1174)),(INDIRECT(Q1174)),(INDIRECT(R1174)),".")</f>
        <v>Misc. Healthy parts/ Non Ferrous  Scrap, Lying at TRY Ferozepur. Quantity in MT - Brass scrap - 2.09, Misc. Alumn. Scrap - 0.318, .</v>
      </c>
      <c r="I1173" s="98" t="str">
        <f aca="true" ca="1" t="array" ref="I1173">CELL("address",INDEX(G1173:G1194,MATCH(TRUE,ISBLANK(G1173:G1194),0)))</f>
        <v>$G$1176</v>
      </c>
      <c r="J1173" s="98">
        <f aca="true" t="array" ref="J1173">MATCH(TRUE,ISBLANK(G1173:G1194),0)</f>
        <v>4</v>
      </c>
      <c r="K1173" s="98">
        <f>J1173-3</f>
        <v>1</v>
      </c>
      <c r="L1173" s="98"/>
      <c r="M1173" s="98"/>
      <c r="N1173" s="98"/>
      <c r="O1173" s="98"/>
      <c r="P1173" s="98"/>
      <c r="Q1173" s="98"/>
      <c r="R1173" s="98"/>
    </row>
    <row r="1174" spans="1:18" ht="18" customHeight="1">
      <c r="A1174" s="321" t="s">
        <v>38</v>
      </c>
      <c r="B1174" s="321"/>
      <c r="C1174" s="330" t="s">
        <v>42</v>
      </c>
      <c r="D1174" s="45" t="s">
        <v>23</v>
      </c>
      <c r="E1174" s="119">
        <v>2.09</v>
      </c>
      <c r="G1174" s="92" t="str">
        <f>CONCATENATE(D1174," - ",E1174,", ")</f>
        <v>Brass scrap - 2.09, </v>
      </c>
      <c r="H1174" s="324"/>
      <c r="I1174" s="98" t="str">
        <f ca="1">IF(J1173&gt;=3,(MID(I1173,2,1)&amp;MID(I1173,4,4)-K1173),CELL("address",Z1174))</f>
        <v>G1175</v>
      </c>
      <c r="J1174" s="98" t="str">
        <f ca="1">IF(J1173&gt;=4,(MID(I1174,1,1)&amp;MID(I1174,2,4)+1),CELL("address",AA1174))</f>
        <v>G1176</v>
      </c>
      <c r="K1174" s="98" t="str">
        <f ca="1">IF(J1173&gt;=5,(MID(J1174,1,1)&amp;MID(J1174,2,4)+1),CELL("address",AB1174))</f>
        <v>$AB$1174</v>
      </c>
      <c r="L1174" s="98" t="str">
        <f ca="1">IF(J1173&gt;=6,(MID(K1174,1,1)&amp;MID(K1174,2,4)+1),CELL("address",AC1174))</f>
        <v>$AC$1174</v>
      </c>
      <c r="M1174" s="98" t="str">
        <f ca="1">IF(J1173&gt;=7,(MID(L1174,1,1)&amp;MID(L1174,2,4)+1),CELL("address",AD1174))</f>
        <v>$AD$1174</v>
      </c>
      <c r="N1174" s="98" t="str">
        <f ca="1">IF(J1173&gt;=8,(MID(M1174,1,1)&amp;MID(M1174,2,4)+1),CELL("address",AE1174))</f>
        <v>$AE$1174</v>
      </c>
      <c r="O1174" s="98" t="str">
        <f ca="1">IF(J1173&gt;=9,(MID(N1174,1,1)&amp;MID(N1174,2,4)+1),CELL("address",AF1174))</f>
        <v>$AF$1174</v>
      </c>
      <c r="P1174" s="98" t="str">
        <f ca="1">IF(J1173&gt;=10,(MID(O1174,1,1)&amp;MID(O1174,2,4)+1),CELL("address",AG1174))</f>
        <v>$AG$1174</v>
      </c>
      <c r="Q1174" s="98" t="str">
        <f ca="1">IF(J1173&gt;=11,(MID(P1174,1,1)&amp;MID(P1174,2,4)+1),CELL("address",AH1174))</f>
        <v>$AH$1174</v>
      </c>
      <c r="R1174" s="98" t="str">
        <f ca="1">IF(J1173&gt;=12,(MID(Q1174,1,1)&amp;MID(Q1174,2,4)+1),CELL("address",AI1174))</f>
        <v>$AI$1174</v>
      </c>
    </row>
    <row r="1175" spans="1:15" ht="19.5" customHeight="1">
      <c r="A1175" s="321"/>
      <c r="B1175" s="321"/>
      <c r="C1175" s="330"/>
      <c r="D1175" s="45" t="s">
        <v>31</v>
      </c>
      <c r="E1175" s="119">
        <v>0.318</v>
      </c>
      <c r="G1175" s="92" t="str">
        <f>CONCATENATE(D1175," - ",E1175,", ")</f>
        <v>Misc. Alumn. Scrap - 0.318, </v>
      </c>
      <c r="H1175" s="1"/>
      <c r="I1175" s="98"/>
      <c r="J1175" s="98"/>
      <c r="K1175" s="98"/>
      <c r="L1175" s="98"/>
      <c r="M1175" s="98"/>
      <c r="N1175" s="98"/>
      <c r="O1175" s="98"/>
    </row>
    <row r="1176" spans="1:8" ht="15" customHeight="1">
      <c r="A1176" s="325"/>
      <c r="B1176" s="331"/>
      <c r="C1176" s="296"/>
      <c r="D1176" s="45"/>
      <c r="E1176" s="119"/>
      <c r="H1176" s="1"/>
    </row>
    <row r="1177" spans="1:8" ht="15" customHeight="1">
      <c r="A1177" s="332"/>
      <c r="B1177" s="333"/>
      <c r="C1177" s="66"/>
      <c r="D1177" s="66"/>
      <c r="E1177" s="118">
        <f>SUM(E1179:E1182)</f>
        <v>3.033</v>
      </c>
      <c r="H1177" s="1"/>
    </row>
    <row r="1178" spans="1:18" ht="15" customHeight="1">
      <c r="A1178" s="325" t="s">
        <v>5</v>
      </c>
      <c r="B1178" s="331"/>
      <c r="C1178" s="64" t="s">
        <v>17</v>
      </c>
      <c r="D1178" s="65" t="s">
        <v>18</v>
      </c>
      <c r="E1178" s="68" t="s">
        <v>7</v>
      </c>
      <c r="F1178" s="98"/>
      <c r="G1178" s="166" t="str">
        <f>CONCATENATE("Misc. Healthy parts/ Non Ferrous  Scrap, Lying at ",C1179,". Quantity in MT - ")</f>
        <v>Misc. Healthy parts/ Non Ferrous  Scrap, Lying at TRY Malerkotla. Quantity in MT - </v>
      </c>
      <c r="H1178" s="324" t="str">
        <f ca="1">CONCATENATE(G1178,G1179,(INDIRECT(I1179)),(INDIRECT(J1179)),(INDIRECT(K1179)),(INDIRECT(L1179)),(INDIRECT(M1179)),(INDIRECT(N1179)),(INDIRECT(O1179)),(INDIRECT(P1179)),(INDIRECT(Q1179)),(INDIRECT(R1179)),".")</f>
        <v>Misc. Healthy parts/ Non Ferrous  Scrap, Lying at TRY Malerkotla. Quantity in MT - Brass scrap - 2.37, Misc. Aluminium scrap - 0.195, Burnt Aluminium scrap - 0.313, Burnt Cu scrap - 0.155, .</v>
      </c>
      <c r="I1178" s="98" t="str">
        <f aca="true" ca="1" t="array" ref="I1178">CELL("address",INDEX(G1178:G1199,MATCH(TRUE,ISBLANK(G1178:G1199),0)))</f>
        <v>$G$1183</v>
      </c>
      <c r="J1178" s="98">
        <f aca="true" t="array" ref="J1178">MATCH(TRUE,ISBLANK(G1178:G1199),0)</f>
        <v>6</v>
      </c>
      <c r="K1178" s="98">
        <f>J1178-3</f>
        <v>3</v>
      </c>
      <c r="L1178" s="98"/>
      <c r="M1178" s="98"/>
      <c r="N1178" s="98"/>
      <c r="O1178" s="98"/>
      <c r="P1178" s="98"/>
      <c r="Q1178" s="98"/>
      <c r="R1178" s="98"/>
    </row>
    <row r="1179" spans="1:18" ht="15" customHeight="1">
      <c r="A1179" s="321" t="s">
        <v>48</v>
      </c>
      <c r="B1179" s="321"/>
      <c r="C1179" s="330" t="s">
        <v>28</v>
      </c>
      <c r="D1179" s="40" t="s">
        <v>23</v>
      </c>
      <c r="E1179" s="69">
        <v>2.37</v>
      </c>
      <c r="F1179" s="98"/>
      <c r="G1179" s="101" t="str">
        <f>CONCATENATE(D1179," - ",E1179,", ")</f>
        <v>Brass scrap - 2.37, </v>
      </c>
      <c r="H1179" s="324"/>
      <c r="I1179" s="98" t="str">
        <f ca="1">IF(J1178&gt;=3,(MID(I1178,2,1)&amp;MID(I1178,4,4)-K1178),CELL("address",Z1179))</f>
        <v>G1180</v>
      </c>
      <c r="J1179" s="98" t="str">
        <f ca="1">IF(J1178&gt;=4,(MID(I1179,1,1)&amp;MID(I1179,2,4)+1),CELL("address",AA1179))</f>
        <v>G1181</v>
      </c>
      <c r="K1179" s="98" t="str">
        <f ca="1">IF(J1178&gt;=5,(MID(J1179,1,1)&amp;MID(J1179,2,4)+1),CELL("address",AB1179))</f>
        <v>G1182</v>
      </c>
      <c r="L1179" s="98" t="str">
        <f ca="1">IF(J1178&gt;=6,(MID(K1179,1,1)&amp;MID(K1179,2,4)+1),CELL("address",AC1179))</f>
        <v>G1183</v>
      </c>
      <c r="M1179" s="98" t="str">
        <f ca="1">IF(J1178&gt;=7,(MID(L1179,1,1)&amp;MID(L1179,2,4)+1),CELL("address",AD1179))</f>
        <v>$AD$1179</v>
      </c>
      <c r="N1179" s="98" t="str">
        <f ca="1">IF(J1178&gt;=8,(MID(M1179,1,1)&amp;MID(M1179,2,4)+1),CELL("address",AE1179))</f>
        <v>$AE$1179</v>
      </c>
      <c r="O1179" s="98" t="str">
        <f ca="1">IF(J1178&gt;=9,(MID(N1179,1,1)&amp;MID(N1179,2,4)+1),CELL("address",AF1179))</f>
        <v>$AF$1179</v>
      </c>
      <c r="P1179" s="98" t="str">
        <f ca="1">IF(J1178&gt;=10,(MID(O1179,1,1)&amp;MID(O1179,2,4)+1),CELL("address",AG1179))</f>
        <v>$AG$1179</v>
      </c>
      <c r="Q1179" s="98" t="str">
        <f ca="1">IF(J1178&gt;=11,(MID(P1179,1,1)&amp;MID(P1179,2,4)+1),CELL("address",AH1179))</f>
        <v>$AH$1179</v>
      </c>
      <c r="R1179" s="98" t="str">
        <f ca="1">IF(J1178&gt;=12,(MID(Q1179,1,1)&amp;MID(Q1179,2,4)+1),CELL("address",AI1179))</f>
        <v>$AI$1179</v>
      </c>
    </row>
    <row r="1180" spans="1:15" ht="15" customHeight="1">
      <c r="A1180" s="321"/>
      <c r="B1180" s="321"/>
      <c r="C1180" s="330"/>
      <c r="D1180" s="40" t="s">
        <v>24</v>
      </c>
      <c r="E1180" s="69">
        <v>0.195</v>
      </c>
      <c r="G1180" s="101" t="str">
        <f>CONCATENATE(D1180," - ",E1180,", ")</f>
        <v>Misc. Aluminium scrap - 0.195, </v>
      </c>
      <c r="H1180" s="98"/>
      <c r="I1180" s="98"/>
      <c r="J1180" s="98"/>
      <c r="K1180" s="98"/>
      <c r="L1180" s="98"/>
      <c r="M1180" s="98"/>
      <c r="N1180" s="98"/>
      <c r="O1180" s="98"/>
    </row>
    <row r="1181" spans="1:8" ht="15" customHeight="1">
      <c r="A1181" s="321"/>
      <c r="B1181" s="321"/>
      <c r="C1181" s="330"/>
      <c r="D1181" s="40" t="s">
        <v>41</v>
      </c>
      <c r="E1181" s="69">
        <v>0.313</v>
      </c>
      <c r="G1181" s="101" t="str">
        <f>CONCATENATE(D1181," - ",E1181,", ")</f>
        <v>Burnt Aluminium scrap - 0.313, </v>
      </c>
      <c r="H1181" s="1"/>
    </row>
    <row r="1182" spans="1:8" ht="15" customHeight="1">
      <c r="A1182" s="321"/>
      <c r="B1182" s="321"/>
      <c r="C1182" s="330"/>
      <c r="D1182" s="40" t="s">
        <v>37</v>
      </c>
      <c r="E1182" s="68">
        <v>0.155</v>
      </c>
      <c r="G1182" s="101" t="str">
        <f>CONCATENATE(D1182," - ",E1182,", ")</f>
        <v>Burnt Cu scrap - 0.155, </v>
      </c>
      <c r="H1182" s="1"/>
    </row>
    <row r="1183" spans="1:8" ht="15" customHeight="1">
      <c r="A1183" s="39"/>
      <c r="B1183" s="42"/>
      <c r="C1183" s="296"/>
      <c r="D1183" s="40"/>
      <c r="E1183" s="68"/>
      <c r="H1183" s="1"/>
    </row>
    <row r="1184" spans="1:8" ht="15" customHeight="1">
      <c r="A1184" s="332"/>
      <c r="B1184" s="333"/>
      <c r="C1184" s="66"/>
      <c r="D1184" s="66"/>
      <c r="E1184" s="118">
        <f>SUM(E1186:E1189)</f>
        <v>0.418</v>
      </c>
      <c r="H1184" s="1"/>
    </row>
    <row r="1185" spans="1:18" ht="15" customHeight="1">
      <c r="A1185" s="321" t="s">
        <v>5</v>
      </c>
      <c r="B1185" s="321"/>
      <c r="C1185" s="64" t="s">
        <v>17</v>
      </c>
      <c r="D1185" s="65" t="s">
        <v>18</v>
      </c>
      <c r="E1185" s="68" t="s">
        <v>7</v>
      </c>
      <c r="F1185" s="98"/>
      <c r="G1185" s="166" t="str">
        <f>CONCATENATE("Misc. Healthy parts/ Non Ferrous  Scrap, Lying at ",C1186,". Quantity in MT - ")</f>
        <v>Misc. Healthy parts/ Non Ferrous  Scrap, Lying at CS Mohali. Quantity in MT - </v>
      </c>
      <c r="H1185" s="324" t="str">
        <f ca="1">CONCATENATE(G1185,G1186,(INDIRECT(I1186)),(INDIRECT(J1186)),(INDIRECT(K1186)),(INDIRECT(L1186)),(INDIRECT(M1186)),(INDIRECT(N1186)),(INDIRECT(O1186)),(INDIRECT(P1186)),(INDIRECT(Q1186)),(INDIRECT(R1186)),".")</f>
        <v>Misc. Healthy parts/ Non Ferrous  Scrap, Lying at CS Mohali. Quantity in MT - Misc. Copper scrap - 0.313, Burnt Cu scrap - 0.041, All Alumn. Conductor Scrap - 0.054, Brass scrap - 0.01, .</v>
      </c>
      <c r="I1185" s="98" t="str">
        <f aca="true" ca="1" t="array" ref="I1185">CELL("address",INDEX(G1185:G1206,MATCH(TRUE,ISBLANK(G1185:G1206),0)))</f>
        <v>$G$1190</v>
      </c>
      <c r="J1185" s="98">
        <f aca="true" t="array" ref="J1185">MATCH(TRUE,ISBLANK(G1185:G1206),0)</f>
        <v>6</v>
      </c>
      <c r="K1185" s="98">
        <f>J1185-3</f>
        <v>3</v>
      </c>
      <c r="L1185" s="98"/>
      <c r="M1185" s="98"/>
      <c r="N1185" s="98"/>
      <c r="O1185" s="98"/>
      <c r="P1185" s="98"/>
      <c r="Q1185" s="98"/>
      <c r="R1185" s="98"/>
    </row>
    <row r="1186" spans="1:18" ht="15" customHeight="1">
      <c r="A1186" s="321" t="s">
        <v>39</v>
      </c>
      <c r="B1186" s="321"/>
      <c r="C1186" s="330" t="s">
        <v>62</v>
      </c>
      <c r="D1186" s="40" t="s">
        <v>45</v>
      </c>
      <c r="E1186" s="69">
        <v>0.313</v>
      </c>
      <c r="F1186" s="98"/>
      <c r="G1186" s="101" t="str">
        <f>CONCATENATE(D1186," - ",E1186,", ")</f>
        <v>Misc. Copper scrap - 0.313, </v>
      </c>
      <c r="H1186" s="324"/>
      <c r="I1186" s="98" t="str">
        <f ca="1">IF(J1185&gt;=3,(MID(I1185,2,1)&amp;MID(I1185,4,4)-K1185),CELL("address",Z1186))</f>
        <v>G1187</v>
      </c>
      <c r="J1186" s="98" t="str">
        <f ca="1">IF(J1185&gt;=4,(MID(I1186,1,1)&amp;MID(I1186,2,4)+1),CELL("address",AA1186))</f>
        <v>G1188</v>
      </c>
      <c r="K1186" s="98" t="str">
        <f ca="1">IF(J1185&gt;=5,(MID(J1186,1,1)&amp;MID(J1186,2,4)+1),CELL("address",AB1186))</f>
        <v>G1189</v>
      </c>
      <c r="L1186" s="98" t="str">
        <f ca="1">IF(J1185&gt;=6,(MID(K1186,1,1)&amp;MID(K1186,2,4)+1),CELL("address",AC1186))</f>
        <v>G1190</v>
      </c>
      <c r="M1186" s="98" t="str">
        <f ca="1">IF(J1185&gt;=7,(MID(L1186,1,1)&amp;MID(L1186,2,4)+1),CELL("address",AD1186))</f>
        <v>$AD$1186</v>
      </c>
      <c r="N1186" s="98" t="str">
        <f ca="1">IF(J1185&gt;=8,(MID(M1186,1,1)&amp;MID(M1186,2,4)+1),CELL("address",AE1186))</f>
        <v>$AE$1186</v>
      </c>
      <c r="O1186" s="98" t="str">
        <f ca="1">IF(J1185&gt;=9,(MID(N1186,1,1)&amp;MID(N1186,2,4)+1),CELL("address",AF1186))</f>
        <v>$AF$1186</v>
      </c>
      <c r="P1186" s="98" t="str">
        <f ca="1">IF(J1185&gt;=10,(MID(O1186,1,1)&amp;MID(O1186,2,4)+1),CELL("address",AG1186))</f>
        <v>$AG$1186</v>
      </c>
      <c r="Q1186" s="98" t="str">
        <f ca="1">IF(J1185&gt;=11,(MID(P1186,1,1)&amp;MID(P1186,2,4)+1),CELL("address",AH1186))</f>
        <v>$AH$1186</v>
      </c>
      <c r="R1186" s="98" t="str">
        <f ca="1">IF(J1185&gt;=12,(MID(Q1186,1,1)&amp;MID(Q1186,2,4)+1),CELL("address",AI1186))</f>
        <v>$AI$1186</v>
      </c>
    </row>
    <row r="1187" spans="1:15" ht="15" customHeight="1">
      <c r="A1187" s="321"/>
      <c r="B1187" s="321"/>
      <c r="C1187" s="330"/>
      <c r="D1187" s="39" t="s">
        <v>37</v>
      </c>
      <c r="E1187" s="69">
        <v>0.041</v>
      </c>
      <c r="G1187" s="101" t="str">
        <f>CONCATENATE(D1187," - ",E1187,", ")</f>
        <v>Burnt Cu scrap - 0.041, </v>
      </c>
      <c r="H1187" s="98"/>
      <c r="I1187" s="98"/>
      <c r="J1187" s="98"/>
      <c r="K1187" s="98"/>
      <c r="L1187" s="98"/>
      <c r="M1187" s="98"/>
      <c r="N1187" s="98"/>
      <c r="O1187" s="98"/>
    </row>
    <row r="1188" spans="1:8" ht="15" customHeight="1">
      <c r="A1188" s="321"/>
      <c r="B1188" s="321"/>
      <c r="C1188" s="330"/>
      <c r="D1188" s="45" t="s">
        <v>32</v>
      </c>
      <c r="E1188" s="69">
        <v>0.054</v>
      </c>
      <c r="G1188" s="101" t="str">
        <f>CONCATENATE(D1188," - ",E1188,", ")</f>
        <v>All Alumn. Conductor Scrap - 0.054, </v>
      </c>
      <c r="H1188" s="1"/>
    </row>
    <row r="1189" spans="1:8" ht="15" customHeight="1">
      <c r="A1189" s="321"/>
      <c r="B1189" s="321"/>
      <c r="C1189" s="330"/>
      <c r="D1189" s="40" t="s">
        <v>23</v>
      </c>
      <c r="E1189" s="69">
        <v>0.01</v>
      </c>
      <c r="F1189" s="98"/>
      <c r="G1189" s="101" t="str">
        <f>CONCATENATE(D1189," - ",E1189,", ")</f>
        <v>Brass scrap - 0.01, </v>
      </c>
      <c r="H1189" s="1"/>
    </row>
    <row r="1190" spans="1:15" ht="15" customHeight="1">
      <c r="A1190" s="39"/>
      <c r="B1190" s="42"/>
      <c r="C1190" s="296"/>
      <c r="D1190" s="40"/>
      <c r="E1190" s="69"/>
      <c r="F1190" s="187"/>
      <c r="G1190" s="98"/>
      <c r="H1190" s="98"/>
      <c r="I1190" s="98"/>
      <c r="J1190" s="98"/>
      <c r="K1190" s="98"/>
      <c r="L1190" s="98"/>
      <c r="M1190" s="98"/>
      <c r="N1190" s="98"/>
      <c r="O1190" s="98"/>
    </row>
    <row r="1191" spans="1:15" ht="15" customHeight="1">
      <c r="A1191" s="325"/>
      <c r="B1191" s="331"/>
      <c r="C1191" s="296"/>
      <c r="D1191" s="40"/>
      <c r="E1191" s="118">
        <f>E1193</f>
        <v>0.092</v>
      </c>
      <c r="F1191" s="120"/>
      <c r="G1191" s="98"/>
      <c r="H1191" s="98"/>
      <c r="I1191" s="98"/>
      <c r="J1191" s="98"/>
      <c r="K1191" s="98"/>
      <c r="L1191" s="98"/>
      <c r="M1191" s="98"/>
      <c r="N1191" s="98"/>
      <c r="O1191" s="98"/>
    </row>
    <row r="1192" spans="1:18" ht="15" customHeight="1">
      <c r="A1192" s="321" t="s">
        <v>5</v>
      </c>
      <c r="B1192" s="321"/>
      <c r="C1192" s="64" t="s">
        <v>17</v>
      </c>
      <c r="D1192" s="65" t="s">
        <v>18</v>
      </c>
      <c r="E1192" s="68" t="s">
        <v>7</v>
      </c>
      <c r="G1192" s="166" t="str">
        <f>CONCATENATE("Misc. Healthy parts/ Non Ferrous  Scrap, Lying at ",C1193,". Quantity in MT - ")</f>
        <v>Misc. Healthy parts/ Non Ferrous  Scrap, Lying at OL store Patran. Quantity in MT - </v>
      </c>
      <c r="H1192" s="324" t="str">
        <f ca="1">CONCATENATE(G1192,G1193,(INDIRECT(I1193)),(INDIRECT(J1193)),(INDIRECT(K1193)),(INDIRECT(L1193)),(INDIRECT(M1193)),(INDIRECT(N1193)),(INDIRECT(O1193)),(INDIRECT(P1193)),(INDIRECT(Q1193)),(INDIRECT(R1193)),".")</f>
        <v>Misc. Healthy parts/ Non Ferrous  Scrap, Lying at OL store Patran. Quantity in MT - Misc. Copper scrap - 0.092, .</v>
      </c>
      <c r="I1192" s="98" t="str">
        <f aca="true" ca="1" t="array" ref="I1192">CELL("address",INDEX(G1192:G1213,MATCH(TRUE,ISBLANK(G1192:G1213),0)))</f>
        <v>$G$1194</v>
      </c>
      <c r="J1192" s="98">
        <f aca="true" t="array" ref="J1192">MATCH(TRUE,ISBLANK(G1192:G1213),0)</f>
        <v>3</v>
      </c>
      <c r="K1192" s="98">
        <f>J1192-3</f>
        <v>0</v>
      </c>
      <c r="L1192" s="98"/>
      <c r="M1192" s="98"/>
      <c r="N1192" s="98"/>
      <c r="O1192" s="98"/>
      <c r="P1192" s="98"/>
      <c r="Q1192" s="98"/>
      <c r="R1192" s="98"/>
    </row>
    <row r="1193" spans="1:18" ht="15" customHeight="1">
      <c r="A1193" s="321" t="s">
        <v>40</v>
      </c>
      <c r="B1193" s="321"/>
      <c r="C1193" s="296" t="s">
        <v>101</v>
      </c>
      <c r="D1193" s="40" t="s">
        <v>45</v>
      </c>
      <c r="E1193" s="69">
        <v>0.092</v>
      </c>
      <c r="G1193" s="101" t="str">
        <f>CONCATENATE(D1193," - ",E1193,", ")</f>
        <v>Misc. Copper scrap - 0.092, </v>
      </c>
      <c r="H1193" s="324"/>
      <c r="I1193" s="98" t="str">
        <f ca="1">IF(J1192&gt;=3,(MID(I1192,2,1)&amp;MID(I1192,4,4)-K1192),CELL("address",Z1193))</f>
        <v>G1194</v>
      </c>
      <c r="J1193" s="98" t="str">
        <f ca="1">IF(J1192&gt;=4,(MID(I1193,1,1)&amp;MID(I1193,2,4)+1),CELL("address",AA1193))</f>
        <v>$AA$1193</v>
      </c>
      <c r="K1193" s="98" t="str">
        <f ca="1">IF(J1192&gt;=5,(MID(J1193,1,1)&amp;MID(J1193,2,4)+1),CELL("address",AB1193))</f>
        <v>$AB$1193</v>
      </c>
      <c r="L1193" s="98" t="str">
        <f ca="1">IF(J1192&gt;=6,(MID(K1193,1,1)&amp;MID(K1193,2,4)+1),CELL("address",AC1193))</f>
        <v>$AC$1193</v>
      </c>
      <c r="M1193" s="98" t="str">
        <f ca="1">IF(J1192&gt;=7,(MID(L1193,1,1)&amp;MID(L1193,2,4)+1),CELL("address",AD1193))</f>
        <v>$AD$1193</v>
      </c>
      <c r="N1193" s="98" t="str">
        <f ca="1">IF(J1192&gt;=8,(MID(M1193,1,1)&amp;MID(M1193,2,4)+1),CELL("address",AE1193))</f>
        <v>$AE$1193</v>
      </c>
      <c r="O1193" s="98" t="str">
        <f ca="1">IF(J1192&gt;=9,(MID(N1193,1,1)&amp;MID(N1193,2,4)+1),CELL("address",AF1193))</f>
        <v>$AF$1193</v>
      </c>
      <c r="P1193" s="98" t="str">
        <f ca="1">IF(J1192&gt;=10,(MID(O1193,1,1)&amp;MID(O1193,2,4)+1),CELL("address",AG1193))</f>
        <v>$AG$1193</v>
      </c>
      <c r="Q1193" s="98" t="str">
        <f ca="1">IF(J1192&gt;=11,(MID(P1193,1,1)&amp;MID(P1193,2,4)+1),CELL("address",AH1193))</f>
        <v>$AH$1193</v>
      </c>
      <c r="R1193" s="98" t="str">
        <f ca="1">IF(J1192&gt;=12,(MID(Q1193,1,1)&amp;MID(Q1193,2,4)+1),CELL("address",AI1193))</f>
        <v>$AI$1193</v>
      </c>
    </row>
    <row r="1194" spans="1:15" ht="15" customHeight="1">
      <c r="A1194" s="50"/>
      <c r="B1194" s="59"/>
      <c r="C1194" s="298"/>
      <c r="D1194" s="40"/>
      <c r="E1194" s="46"/>
      <c r="F1194" s="120"/>
      <c r="H1194" s="1"/>
      <c r="I1194" s="98"/>
      <c r="J1194" s="98"/>
      <c r="K1194" s="98"/>
      <c r="L1194" s="98"/>
      <c r="M1194" s="98"/>
      <c r="N1194" s="98"/>
      <c r="O1194" s="98"/>
    </row>
    <row r="1195" spans="1:8" ht="15" customHeight="1">
      <c r="A1195" s="50"/>
      <c r="B1195" s="59"/>
      <c r="C1195" s="298"/>
      <c r="D1195" s="45"/>
      <c r="E1195" s="67">
        <f>SUM(E1197:E1201)</f>
        <v>2.288</v>
      </c>
      <c r="F1195" s="120"/>
      <c r="H1195" s="1"/>
    </row>
    <row r="1196" spans="1:18" ht="15" customHeight="1">
      <c r="A1196" s="321" t="s">
        <v>5</v>
      </c>
      <c r="B1196" s="321"/>
      <c r="C1196" s="64" t="s">
        <v>17</v>
      </c>
      <c r="D1196" s="65" t="s">
        <v>18</v>
      </c>
      <c r="E1196" s="64" t="s">
        <v>7</v>
      </c>
      <c r="F1196" s="98"/>
      <c r="G1196" s="166" t="str">
        <f>CONCATENATE("Misc. Healthy parts/ Non Ferrous  Scrap, Lying at ",C1197,". Quantity in MT - ")</f>
        <v>Misc. Healthy parts/ Non Ferrous  Scrap, Lying at CS Patiala. Quantity in MT - </v>
      </c>
      <c r="H1196" s="324" t="str">
        <f ca="1">CONCATENATE(G1196,G1197,(INDIRECT(I1197)),(INDIRECT(J1197)),(INDIRECT(K1197)),(INDIRECT(L1197)),(INDIRECT(M1197)),(INDIRECT(N1197)),(INDIRECT(O1197)),(INDIRECT(P1197)),(INDIRECT(Q1197)),(INDIRECT(R1197)),".")</f>
        <v>Misc. Healthy parts/ Non Ferrous  Scrap, Lying at CS Patiala. Quantity in MT - Misc. Alumn. Scrap - 0.13, Misc. copper scrap - 0.219, Burnt copper scrap - 0.022, Brass scrap - 1.841, All Alumn. Conductor Scrap - 0.076, .</v>
      </c>
      <c r="I1196" s="98" t="str">
        <f aca="true" ca="1" t="array" ref="I1196">CELL("address",INDEX(G1196:G1217,MATCH(TRUE,ISBLANK(G1196:G1217),0)))</f>
        <v>$G$1202</v>
      </c>
      <c r="J1196" s="98">
        <f aca="true" t="array" ref="J1196">MATCH(TRUE,ISBLANK(G1196:G1217),0)</f>
        <v>7</v>
      </c>
      <c r="K1196" s="98">
        <f>J1196-3</f>
        <v>4</v>
      </c>
      <c r="L1196" s="98"/>
      <c r="M1196" s="98"/>
      <c r="N1196" s="98"/>
      <c r="O1196" s="98"/>
      <c r="P1196" s="98"/>
      <c r="Q1196" s="98"/>
      <c r="R1196" s="98"/>
    </row>
    <row r="1197" spans="1:18" ht="15" customHeight="1">
      <c r="A1197" s="321" t="s">
        <v>80</v>
      </c>
      <c r="B1197" s="321"/>
      <c r="C1197" s="330" t="s">
        <v>52</v>
      </c>
      <c r="D1197" s="278" t="s">
        <v>31</v>
      </c>
      <c r="E1197" s="49">
        <v>0.13</v>
      </c>
      <c r="F1197" s="98">
        <v>0.105</v>
      </c>
      <c r="G1197" s="101" t="str">
        <f>CONCATENATE(D1197," - ",E1197,", ")</f>
        <v>Misc. Alumn. Scrap - 0.13, </v>
      </c>
      <c r="H1197" s="324"/>
      <c r="I1197" s="98" t="str">
        <f ca="1">IF(J1196&gt;=3,(MID(I1196,2,1)&amp;MID(I1196,4,4)-K1196),CELL("address",Z1197))</f>
        <v>G1198</v>
      </c>
      <c r="J1197" s="98" t="str">
        <f ca="1">IF(J1196&gt;=4,(MID(I1197,1,1)&amp;MID(I1197,2,4)+1),CELL("address",AA1197))</f>
        <v>G1199</v>
      </c>
      <c r="K1197" s="98" t="str">
        <f ca="1">IF(J1196&gt;=5,(MID(J1197,1,1)&amp;MID(J1197,2,4)+1),CELL("address",AB1197))</f>
        <v>G1200</v>
      </c>
      <c r="L1197" s="98" t="str">
        <f ca="1">IF(J1196&gt;=6,(MID(K1197,1,1)&amp;MID(K1197,2,4)+1),CELL("address",AC1197))</f>
        <v>G1201</v>
      </c>
      <c r="M1197" s="98" t="str">
        <f ca="1">IF(J1196&gt;=7,(MID(L1197,1,1)&amp;MID(L1197,2,4)+1),CELL("address",AD1197))</f>
        <v>G1202</v>
      </c>
      <c r="N1197" s="98" t="str">
        <f ca="1">IF(J1196&gt;=8,(MID(M1197,1,1)&amp;MID(M1197,2,4)+1),CELL("address",AE1197))</f>
        <v>$AE$1197</v>
      </c>
      <c r="O1197" s="98" t="str">
        <f ca="1">IF(J1196&gt;=9,(MID(N1197,1,1)&amp;MID(N1197,2,4)+1),CELL("address",AF1197))</f>
        <v>$AF$1197</v>
      </c>
      <c r="P1197" s="98" t="str">
        <f ca="1">IF(J1196&gt;=10,(MID(O1197,1,1)&amp;MID(O1197,2,4)+1),CELL("address",AG1197))</f>
        <v>$AG$1197</v>
      </c>
      <c r="Q1197" s="98" t="str">
        <f ca="1">IF(J1196&gt;=11,(MID(P1197,1,1)&amp;MID(P1197,2,4)+1),CELL("address",AH1197))</f>
        <v>$AH$1197</v>
      </c>
      <c r="R1197" s="98" t="str">
        <f ca="1">IF(J1196&gt;=12,(MID(Q1197,1,1)&amp;MID(Q1197,2,4)+1),CELL("address",AI1197))</f>
        <v>$AI$1197</v>
      </c>
    </row>
    <row r="1198" spans="1:15" ht="15" customHeight="1">
      <c r="A1198" s="321"/>
      <c r="B1198" s="321"/>
      <c r="C1198" s="330"/>
      <c r="D1198" s="60" t="s">
        <v>111</v>
      </c>
      <c r="E1198" s="64">
        <v>0.219</v>
      </c>
      <c r="G1198" s="101" t="str">
        <f>CONCATENATE(D1198," - ",E1198,", ")</f>
        <v>Misc. copper scrap - 0.219, </v>
      </c>
      <c r="H1198" s="98"/>
      <c r="I1198" s="98"/>
      <c r="J1198" s="98"/>
      <c r="K1198" s="98"/>
      <c r="L1198" s="98"/>
      <c r="M1198" s="98"/>
      <c r="N1198" s="98"/>
      <c r="O1198" s="98"/>
    </row>
    <row r="1199" spans="1:8" ht="15" customHeight="1">
      <c r="A1199" s="321"/>
      <c r="B1199" s="321"/>
      <c r="C1199" s="330"/>
      <c r="D1199" s="60" t="s">
        <v>47</v>
      </c>
      <c r="E1199" s="64">
        <v>0.022</v>
      </c>
      <c r="G1199" s="101" t="str">
        <f>CONCATENATE(D1199," - ",E1199,", ")</f>
        <v>Burnt copper scrap - 0.022, </v>
      </c>
      <c r="H1199" s="1"/>
    </row>
    <row r="1200" spans="1:8" ht="15" customHeight="1">
      <c r="A1200" s="321"/>
      <c r="B1200" s="321"/>
      <c r="C1200" s="330"/>
      <c r="D1200" s="308" t="s">
        <v>23</v>
      </c>
      <c r="E1200" s="293">
        <v>1.841</v>
      </c>
      <c r="F1200" s="1">
        <v>0.653</v>
      </c>
      <c r="G1200" s="101" t="str">
        <f>CONCATENATE(D1200," - ",E1200,", ")</f>
        <v>Brass scrap - 1.841, </v>
      </c>
      <c r="H1200" s="1"/>
    </row>
    <row r="1201" spans="1:8" ht="15" customHeight="1">
      <c r="A1201" s="321"/>
      <c r="B1201" s="321"/>
      <c r="C1201" s="330"/>
      <c r="D1201" s="45" t="s">
        <v>32</v>
      </c>
      <c r="E1201" s="64">
        <v>0.076</v>
      </c>
      <c r="G1201" s="92" t="str">
        <f>CONCATENATE(D1201," - ",E1201,", ")</f>
        <v>All Alumn. Conductor Scrap - 0.076, </v>
      </c>
      <c r="H1201" s="1"/>
    </row>
    <row r="1202" spans="1:8" ht="15" customHeight="1">
      <c r="A1202" s="195"/>
      <c r="B1202" s="196"/>
      <c r="C1202" s="194"/>
      <c r="D1202" s="60"/>
      <c r="E1202" s="64"/>
      <c r="H1202" s="1"/>
    </row>
    <row r="1203" spans="1:8" ht="15" customHeight="1">
      <c r="A1203" s="332"/>
      <c r="B1203" s="333"/>
      <c r="C1203" s="66"/>
      <c r="D1203" s="66"/>
      <c r="E1203" s="67">
        <f>SUM(E1205:E1212)</f>
        <v>4.923</v>
      </c>
      <c r="F1203" s="120"/>
      <c r="H1203" s="1"/>
    </row>
    <row r="1204" spans="1:18" ht="15" customHeight="1">
      <c r="A1204" s="322" t="s">
        <v>5</v>
      </c>
      <c r="B1204" s="323"/>
      <c r="C1204" s="64" t="s">
        <v>17</v>
      </c>
      <c r="D1204" s="65" t="s">
        <v>18</v>
      </c>
      <c r="E1204" s="68" t="s">
        <v>7</v>
      </c>
      <c r="G1204" s="166" t="str">
        <f>CONCATENATE("Misc. Healthy parts/ Non Ferrous  Scrap, Lying at ",C1205,". Quantity in MT - ")</f>
        <v>Misc. Healthy parts/ Non Ferrous  Scrap, Lying at CS Kotkapura. Quantity in MT - </v>
      </c>
      <c r="H1204" s="324" t="str">
        <f ca="1">CONCATENATE(G1204,G1205,(INDIRECT(I1205)),(INDIRECT(J1205)),(INDIRECT(K1205)),(INDIRECT(L1205)),(INDIRECT(M1205)),(INDIRECT(N1205)),(INDIRECT(O1205)),(INDIRECT(P1205)),(INDIRECT(Q1205)),(INDIRECT(R1205)),".")</f>
        <v>Misc. Healthy parts/ Non Ferrous  Scrap, Lying at CS Kotkapura. Quantity in MT - Brass scrap - 4.046, Misc. Copper scrap - 0.066, Burnt Cu scrap - 0.325, Misc. Aluminium scrap - 0.205, Burnt Aluminium scrap - 0.055, All Alum scrap - 0.09, Alu scrap of damaged T/F accessories - 0.096, Copper scrap - 0.04, .</v>
      </c>
      <c r="I1204" s="98" t="str">
        <f aca="true" ca="1" t="array" ref="I1204">CELL("address",INDEX(G1204:G1225,MATCH(TRUE,ISBLANK(G1204:G1225),0)))</f>
        <v>$G$1213</v>
      </c>
      <c r="J1204" s="98">
        <f aca="true" t="array" ref="J1204">MATCH(TRUE,ISBLANK(G1204:G1225),0)</f>
        <v>10</v>
      </c>
      <c r="K1204" s="98">
        <f>J1204-3</f>
        <v>7</v>
      </c>
      <c r="L1204" s="98"/>
      <c r="M1204" s="98"/>
      <c r="N1204" s="98"/>
      <c r="O1204" s="98"/>
      <c r="P1204" s="98"/>
      <c r="Q1204" s="98"/>
      <c r="R1204" s="98"/>
    </row>
    <row r="1205" spans="1:18" ht="15" customHeight="1">
      <c r="A1205" s="321" t="s">
        <v>499</v>
      </c>
      <c r="B1205" s="321"/>
      <c r="C1205" s="330" t="s">
        <v>43</v>
      </c>
      <c r="D1205" s="40" t="s">
        <v>23</v>
      </c>
      <c r="E1205" s="69">
        <v>4.046</v>
      </c>
      <c r="G1205" s="101" t="str">
        <f aca="true" t="shared" si="9" ref="G1205:G1212">CONCATENATE(D1205," - ",E1205,", ")</f>
        <v>Brass scrap - 4.046, </v>
      </c>
      <c r="H1205" s="324"/>
      <c r="I1205" s="98" t="str">
        <f ca="1">IF(J1204&gt;=3,(MID(I1204,2,1)&amp;MID(I1204,4,4)-K1204),CELL("address",Z1205))</f>
        <v>G1206</v>
      </c>
      <c r="J1205" s="98" t="str">
        <f ca="1">IF(J1204&gt;=4,(MID(I1205,1,1)&amp;MID(I1205,2,4)+1),CELL("address",AA1205))</f>
        <v>G1207</v>
      </c>
      <c r="K1205" s="98" t="str">
        <f ca="1">IF(J1204&gt;=5,(MID(J1205,1,1)&amp;MID(J1205,2,4)+1),CELL("address",AB1205))</f>
        <v>G1208</v>
      </c>
      <c r="L1205" s="98" t="str">
        <f ca="1">IF(J1204&gt;=6,(MID(K1205,1,1)&amp;MID(K1205,2,4)+1),CELL("address",AC1205))</f>
        <v>G1209</v>
      </c>
      <c r="M1205" s="98" t="str">
        <f ca="1">IF(J1204&gt;=7,(MID(L1205,1,1)&amp;MID(L1205,2,4)+1),CELL("address",AD1205))</f>
        <v>G1210</v>
      </c>
      <c r="N1205" s="98" t="str">
        <f ca="1">IF(J1204&gt;=8,(MID(M1205,1,1)&amp;MID(M1205,2,4)+1),CELL("address",AE1205))</f>
        <v>G1211</v>
      </c>
      <c r="O1205" s="98" t="str">
        <f ca="1">IF(J1204&gt;=9,(MID(N1205,1,1)&amp;MID(N1205,2,4)+1),CELL("address",AF1205))</f>
        <v>G1212</v>
      </c>
      <c r="P1205" s="98" t="str">
        <f ca="1">IF(J1204&gt;=10,(MID(O1205,1,1)&amp;MID(O1205,2,4)+1),CELL("address",AG1205))</f>
        <v>G1213</v>
      </c>
      <c r="Q1205" s="98" t="str">
        <f ca="1">IF(J1204&gt;=11,(MID(P1205,1,1)&amp;MID(P1205,2,4)+1),CELL("address",AH1205))</f>
        <v>$AH$1205</v>
      </c>
      <c r="R1205" s="98" t="str">
        <f ca="1">IF(J1204&gt;=12,(MID(Q1205,1,1)&amp;MID(Q1205,2,4)+1),CELL("address",AI1205))</f>
        <v>$AI$1205</v>
      </c>
    </row>
    <row r="1206" spans="1:15" ht="15" customHeight="1">
      <c r="A1206" s="321"/>
      <c r="B1206" s="321"/>
      <c r="C1206" s="330"/>
      <c r="D1206" s="40" t="s">
        <v>45</v>
      </c>
      <c r="E1206" s="69">
        <v>0.066</v>
      </c>
      <c r="G1206" s="101" t="str">
        <f t="shared" si="9"/>
        <v>Misc. Copper scrap - 0.066, </v>
      </c>
      <c r="H1206" s="1"/>
      <c r="I1206" s="98"/>
      <c r="J1206" s="98"/>
      <c r="K1206" s="98"/>
      <c r="L1206" s="98"/>
      <c r="M1206" s="98"/>
      <c r="N1206" s="98"/>
      <c r="O1206" s="98"/>
    </row>
    <row r="1207" spans="1:8" ht="15" customHeight="1">
      <c r="A1207" s="321"/>
      <c r="B1207" s="321"/>
      <c r="C1207" s="330"/>
      <c r="D1207" s="39" t="s">
        <v>37</v>
      </c>
      <c r="E1207" s="69">
        <v>0.325</v>
      </c>
      <c r="G1207" s="101" t="str">
        <f t="shared" si="9"/>
        <v>Burnt Cu scrap - 0.325, </v>
      </c>
      <c r="H1207" s="1"/>
    </row>
    <row r="1208" spans="1:8" ht="15" customHeight="1">
      <c r="A1208" s="321"/>
      <c r="B1208" s="321"/>
      <c r="C1208" s="330"/>
      <c r="D1208" s="40" t="s">
        <v>24</v>
      </c>
      <c r="E1208" s="69">
        <v>0.205</v>
      </c>
      <c r="F1208" s="98"/>
      <c r="G1208" s="101" t="str">
        <f t="shared" si="9"/>
        <v>Misc. Aluminium scrap - 0.205, </v>
      </c>
      <c r="H1208" s="1"/>
    </row>
    <row r="1209" spans="1:15" ht="15" customHeight="1">
      <c r="A1209" s="321"/>
      <c r="B1209" s="321"/>
      <c r="C1209" s="330"/>
      <c r="D1209" s="39" t="s">
        <v>41</v>
      </c>
      <c r="E1209" s="69">
        <v>0.055</v>
      </c>
      <c r="F1209" s="98"/>
      <c r="G1209" s="101" t="str">
        <f t="shared" si="9"/>
        <v>Burnt Aluminium scrap - 0.055, </v>
      </c>
      <c r="H1209" s="98"/>
      <c r="I1209" s="98"/>
      <c r="J1209" s="98"/>
      <c r="K1209" s="98"/>
      <c r="L1209" s="98"/>
      <c r="M1209" s="98"/>
      <c r="N1209" s="98"/>
      <c r="O1209" s="98"/>
    </row>
    <row r="1210" spans="1:15" ht="15" customHeight="1">
      <c r="A1210" s="321"/>
      <c r="B1210" s="321"/>
      <c r="C1210" s="330"/>
      <c r="D1210" s="39" t="s">
        <v>337</v>
      </c>
      <c r="E1210" s="69">
        <v>0.09</v>
      </c>
      <c r="G1210" s="101" t="str">
        <f t="shared" si="9"/>
        <v>All Alum scrap - 0.09, </v>
      </c>
      <c r="H1210" s="98"/>
      <c r="I1210" s="98"/>
      <c r="J1210" s="98"/>
      <c r="K1210" s="98"/>
      <c r="L1210" s="98"/>
      <c r="M1210" s="98"/>
      <c r="N1210" s="98"/>
      <c r="O1210" s="98"/>
    </row>
    <row r="1211" spans="1:8" ht="15" customHeight="1">
      <c r="A1211" s="321"/>
      <c r="B1211" s="321"/>
      <c r="C1211" s="330"/>
      <c r="D1211" s="39" t="s">
        <v>338</v>
      </c>
      <c r="E1211" s="69">
        <v>0.096</v>
      </c>
      <c r="G1211" s="101" t="str">
        <f t="shared" si="9"/>
        <v>Alu scrap of damaged T/F accessories - 0.096, </v>
      </c>
      <c r="H1211" s="1"/>
    </row>
    <row r="1212" spans="1:8" ht="15" customHeight="1">
      <c r="A1212" s="321"/>
      <c r="B1212" s="321"/>
      <c r="C1212" s="330"/>
      <c r="D1212" s="39" t="s">
        <v>339</v>
      </c>
      <c r="E1212" s="69">
        <v>0.04</v>
      </c>
      <c r="G1212" s="101" t="str">
        <f t="shared" si="9"/>
        <v>Copper scrap - 0.04, </v>
      </c>
      <c r="H1212" s="1"/>
    </row>
    <row r="1213" spans="1:8" ht="15" customHeight="1">
      <c r="A1213" s="50"/>
      <c r="B1213" s="59"/>
      <c r="C1213" s="298"/>
      <c r="D1213" s="39"/>
      <c r="E1213" s="69"/>
      <c r="F1213" s="98"/>
      <c r="H1213" s="1"/>
    </row>
    <row r="1214" spans="1:15" ht="15" customHeight="1">
      <c r="A1214" s="50"/>
      <c r="B1214" s="59"/>
      <c r="C1214" s="298"/>
      <c r="D1214" s="45"/>
      <c r="E1214" s="67">
        <f>SUM(E1216:E1217)</f>
        <v>0.648</v>
      </c>
      <c r="F1214" s="98"/>
      <c r="G1214" s="98"/>
      <c r="H1214" s="98"/>
      <c r="I1214" s="98"/>
      <c r="J1214" s="98"/>
      <c r="K1214" s="98"/>
      <c r="L1214" s="98"/>
      <c r="M1214" s="98"/>
      <c r="N1214" s="98"/>
      <c r="O1214" s="98"/>
    </row>
    <row r="1215" spans="1:18" ht="15" customHeight="1">
      <c r="A1215" s="321" t="s">
        <v>5</v>
      </c>
      <c r="B1215" s="321"/>
      <c r="C1215" s="64" t="s">
        <v>17</v>
      </c>
      <c r="D1215" s="65" t="s">
        <v>18</v>
      </c>
      <c r="E1215" s="64" t="s">
        <v>7</v>
      </c>
      <c r="G1215" s="166" t="str">
        <f>CONCATENATE("Misc. Healthy parts/ Non Ferrous  Scrap, Lying at ",C1216,". Quantity in MT - ")</f>
        <v>Misc. Healthy parts/ Non Ferrous  Scrap, Lying at OL store Malerkotla. Quantity in MT - </v>
      </c>
      <c r="H1215" s="324" t="str">
        <f ca="1">CONCATENATE(G1215,G1216,(INDIRECT(I1216)),(INDIRECT(J1216)),(INDIRECT(K1216)),(INDIRECT(L1216)),(INDIRECT(M1216)),(INDIRECT(N1216)),(INDIRECT(O1216)),(INDIRECT(P1216)),(INDIRECT(Q1216)),(INDIRECT(R1216)),".")</f>
        <v>Misc. Healthy parts/ Non Ferrous  Scrap, Lying at OL store Malerkotla. Quantity in MT - Misc. Alumn. Scrap - 0.028, Misc. copper scrap - 0.62, .</v>
      </c>
      <c r="I1215" s="98" t="str">
        <f aca="true" ca="1" t="array" ref="I1215">CELL("address",INDEX(G1215:G1236,MATCH(TRUE,ISBLANK(G1215:G1236),0)))</f>
        <v>$G$1218</v>
      </c>
      <c r="J1215" s="98">
        <f aca="true" t="array" ref="J1215">MATCH(TRUE,ISBLANK(G1215:G1236),0)</f>
        <v>4</v>
      </c>
      <c r="K1215" s="98">
        <f>J1215-3</f>
        <v>1</v>
      </c>
      <c r="L1215" s="98"/>
      <c r="M1215" s="98"/>
      <c r="N1215" s="98"/>
      <c r="O1215" s="98"/>
      <c r="P1215" s="98"/>
      <c r="Q1215" s="98"/>
      <c r="R1215" s="98"/>
    </row>
    <row r="1216" spans="1:18" ht="15" customHeight="1">
      <c r="A1216" s="322" t="s">
        <v>44</v>
      </c>
      <c r="B1216" s="323"/>
      <c r="C1216" s="394" t="s">
        <v>116</v>
      </c>
      <c r="D1216" s="60" t="s">
        <v>31</v>
      </c>
      <c r="E1216" s="47">
        <v>0.028</v>
      </c>
      <c r="G1216" s="101" t="str">
        <f>CONCATENATE(D1216," - ",E1216,", ")</f>
        <v>Misc. Alumn. Scrap - 0.028, </v>
      </c>
      <c r="H1216" s="324"/>
      <c r="I1216" s="98" t="str">
        <f ca="1">IF(J1215&gt;=3,(MID(I1215,2,1)&amp;MID(I1215,4,4)-K1215),CELL("address",Z1216))</f>
        <v>G1217</v>
      </c>
      <c r="J1216" s="98" t="str">
        <f ca="1">IF(J1215&gt;=4,(MID(I1216,1,1)&amp;MID(I1216,2,4)+1),CELL("address",AA1216))</f>
        <v>G1218</v>
      </c>
      <c r="K1216" s="98" t="str">
        <f ca="1">IF(J1215&gt;=5,(MID(J1216,1,1)&amp;MID(J1216,2,4)+1),CELL("address",AB1216))</f>
        <v>$AB$1216</v>
      </c>
      <c r="L1216" s="98" t="str">
        <f ca="1">IF(J1215&gt;=6,(MID(K1216,1,1)&amp;MID(K1216,2,4)+1),CELL("address",AC1216))</f>
        <v>$AC$1216</v>
      </c>
      <c r="M1216" s="98" t="str">
        <f ca="1">IF(J1215&gt;=7,(MID(L1216,1,1)&amp;MID(L1216,2,4)+1),CELL("address",AD1216))</f>
        <v>$AD$1216</v>
      </c>
      <c r="N1216" s="98" t="str">
        <f ca="1">IF(J1215&gt;=8,(MID(M1216,1,1)&amp;MID(M1216,2,4)+1),CELL("address",AE1216))</f>
        <v>$AE$1216</v>
      </c>
      <c r="O1216" s="98" t="str">
        <f ca="1">IF(J1215&gt;=9,(MID(N1216,1,1)&amp;MID(N1216,2,4)+1),CELL("address",AF1216))</f>
        <v>$AF$1216</v>
      </c>
      <c r="P1216" s="98" t="str">
        <f ca="1">IF(J1215&gt;=10,(MID(O1216,1,1)&amp;MID(O1216,2,4)+1),CELL("address",AG1216))</f>
        <v>$AG$1216</v>
      </c>
      <c r="Q1216" s="98" t="str">
        <f ca="1">IF(J1215&gt;=11,(MID(P1216,1,1)&amp;MID(P1216,2,4)+1),CELL("address",AH1216))</f>
        <v>$AH$1216</v>
      </c>
      <c r="R1216" s="98" t="str">
        <f ca="1">IF(J1215&gt;=12,(MID(Q1216,1,1)&amp;MID(Q1216,2,4)+1),CELL("address",AI1216))</f>
        <v>$AI$1216</v>
      </c>
    </row>
    <row r="1217" spans="1:15" ht="15" customHeight="1">
      <c r="A1217" s="345"/>
      <c r="B1217" s="346"/>
      <c r="C1217" s="396"/>
      <c r="D1217" s="60" t="s">
        <v>111</v>
      </c>
      <c r="E1217" s="64">
        <v>0.62</v>
      </c>
      <c r="G1217" s="101" t="str">
        <f>CONCATENATE(D1217," - ",E1217,", ")</f>
        <v>Misc. copper scrap - 0.62, </v>
      </c>
      <c r="H1217" s="1"/>
      <c r="I1217" s="98"/>
      <c r="J1217" s="98"/>
      <c r="K1217" s="98"/>
      <c r="L1217" s="98"/>
      <c r="M1217" s="98"/>
      <c r="N1217" s="98"/>
      <c r="O1217" s="98"/>
    </row>
    <row r="1218" spans="1:8" ht="15" customHeight="1">
      <c r="A1218" s="325"/>
      <c r="B1218" s="331"/>
      <c r="C1218" s="296"/>
      <c r="D1218" s="60"/>
      <c r="E1218" s="64"/>
      <c r="F1218" s="98"/>
      <c r="H1218" s="1"/>
    </row>
    <row r="1219" spans="1:15" ht="15" customHeight="1">
      <c r="A1219" s="332"/>
      <c r="B1219" s="333"/>
      <c r="C1219" s="66"/>
      <c r="D1219" s="66"/>
      <c r="E1219" s="67">
        <f>SUM(E1221:E1222)</f>
        <v>0.10800000000000001</v>
      </c>
      <c r="F1219" s="98"/>
      <c r="G1219" s="98"/>
      <c r="H1219" s="98"/>
      <c r="I1219" s="98"/>
      <c r="J1219" s="98"/>
      <c r="K1219" s="98"/>
      <c r="L1219" s="98"/>
      <c r="M1219" s="98"/>
      <c r="N1219" s="98"/>
      <c r="O1219" s="98"/>
    </row>
    <row r="1220" spans="1:18" ht="15" customHeight="1">
      <c r="A1220" s="321" t="s">
        <v>5</v>
      </c>
      <c r="B1220" s="321"/>
      <c r="C1220" s="64" t="s">
        <v>17</v>
      </c>
      <c r="D1220" s="65" t="s">
        <v>18</v>
      </c>
      <c r="E1220" s="64" t="s">
        <v>7</v>
      </c>
      <c r="G1220" s="166" t="str">
        <f>CONCATENATE("Misc. Healthy parts/ Non Ferrous  Scrap, Lying at ",C1221,". Quantity in MT - ")</f>
        <v>Misc. Healthy parts/ Non Ferrous  Scrap, Lying at TRY Malerkotla. Quantity in MT - </v>
      </c>
      <c r="H1220" s="324" t="str">
        <f ca="1">CONCATENATE(G1220,G1221,(INDIRECT(I1221)),(INDIRECT(J1221)),(INDIRECT(K1221)),(INDIRECT(L1221)),(INDIRECT(M1221)),(INDIRECT(N1221)),(INDIRECT(O1221)),(INDIRECT(P1221)),(INDIRECT(Q1221)),(INDIRECT(R1221)),".")</f>
        <v>Misc. Healthy parts/ Non Ferrous  Scrap, Lying at TRY Malerkotla. Quantity in MT - Brass scrap - 0.101, Misc. Alumn. Scrap - 0.007, .</v>
      </c>
      <c r="I1220" s="98" t="str">
        <f aca="true" ca="1" t="array" ref="I1220">CELL("address",INDEX(G1220:G1241,MATCH(TRUE,ISBLANK(G1220:G1241),0)))</f>
        <v>$G$1223</v>
      </c>
      <c r="J1220" s="98">
        <f aca="true" t="array" ref="J1220">MATCH(TRUE,ISBLANK(G1220:G1241),0)</f>
        <v>4</v>
      </c>
      <c r="K1220" s="98">
        <f>J1220-3</f>
        <v>1</v>
      </c>
      <c r="L1220" s="98"/>
      <c r="M1220" s="98"/>
      <c r="N1220" s="98"/>
      <c r="O1220" s="98"/>
      <c r="P1220" s="98"/>
      <c r="Q1220" s="98"/>
      <c r="R1220" s="98"/>
    </row>
    <row r="1221" spans="1:18" ht="15" customHeight="1">
      <c r="A1221" s="321" t="s">
        <v>53</v>
      </c>
      <c r="B1221" s="321"/>
      <c r="C1221" s="330" t="s">
        <v>28</v>
      </c>
      <c r="D1221" s="45" t="s">
        <v>23</v>
      </c>
      <c r="E1221" s="45">
        <v>0.101</v>
      </c>
      <c r="G1221" s="101" t="str">
        <f>CONCATENATE(D1221," - ",E1221,", ")</f>
        <v>Brass scrap - 0.101, </v>
      </c>
      <c r="H1221" s="324"/>
      <c r="I1221" s="98" t="str">
        <f ca="1">IF(J1220&gt;=3,(MID(I1220,2,1)&amp;MID(I1220,4,4)-K1220),CELL("address",Z1221))</f>
        <v>G1222</v>
      </c>
      <c r="J1221" s="98" t="str">
        <f ca="1">IF(J1220&gt;=4,(MID(I1221,1,1)&amp;MID(I1221,2,4)+1),CELL("address",AA1221))</f>
        <v>G1223</v>
      </c>
      <c r="K1221" s="98" t="str">
        <f ca="1">IF(J1220&gt;=5,(MID(J1221,1,1)&amp;MID(J1221,2,4)+1),CELL("address",AB1221))</f>
        <v>$AB$1221</v>
      </c>
      <c r="L1221" s="98" t="str">
        <f ca="1">IF(J1220&gt;=6,(MID(K1221,1,1)&amp;MID(K1221,2,4)+1),CELL("address",AC1221))</f>
        <v>$AC$1221</v>
      </c>
      <c r="M1221" s="98" t="str">
        <f ca="1">IF(J1220&gt;=7,(MID(L1221,1,1)&amp;MID(L1221,2,4)+1),CELL("address",AD1221))</f>
        <v>$AD$1221</v>
      </c>
      <c r="N1221" s="98" t="str">
        <f ca="1">IF(J1220&gt;=8,(MID(M1221,1,1)&amp;MID(M1221,2,4)+1),CELL("address",AE1221))</f>
        <v>$AE$1221</v>
      </c>
      <c r="O1221" s="98" t="str">
        <f ca="1">IF(J1220&gt;=9,(MID(N1221,1,1)&amp;MID(N1221,2,4)+1),CELL("address",AF1221))</f>
        <v>$AF$1221</v>
      </c>
      <c r="P1221" s="98" t="str">
        <f ca="1">IF(J1220&gt;=10,(MID(O1221,1,1)&amp;MID(O1221,2,4)+1),CELL("address",AG1221))</f>
        <v>$AG$1221</v>
      </c>
      <c r="Q1221" s="98" t="str">
        <f ca="1">IF(J1220&gt;=11,(MID(P1221,1,1)&amp;MID(P1221,2,4)+1),CELL("address",AH1221))</f>
        <v>$AH$1221</v>
      </c>
      <c r="R1221" s="98" t="str">
        <f ca="1">IF(J1220&gt;=12,(MID(Q1221,1,1)&amp;MID(Q1221,2,4)+1),CELL("address",AI1221))</f>
        <v>$AI$1221</v>
      </c>
    </row>
    <row r="1222" spans="1:15" ht="15" customHeight="1">
      <c r="A1222" s="321"/>
      <c r="B1222" s="321"/>
      <c r="C1222" s="330"/>
      <c r="D1222" s="45" t="s">
        <v>31</v>
      </c>
      <c r="E1222" s="64">
        <v>0.007</v>
      </c>
      <c r="G1222" s="101" t="str">
        <f>CONCATENATE(D1222," - ",E1222,", ")</f>
        <v>Misc. Alumn. Scrap - 0.007, </v>
      </c>
      <c r="H1222" s="1"/>
      <c r="I1222" s="98"/>
      <c r="J1222" s="98"/>
      <c r="K1222" s="98"/>
      <c r="L1222" s="98"/>
      <c r="M1222" s="98"/>
      <c r="N1222" s="98"/>
      <c r="O1222" s="98"/>
    </row>
    <row r="1223" spans="1:8" ht="15" customHeight="1">
      <c r="A1223" s="325"/>
      <c r="B1223" s="331"/>
      <c r="C1223" s="296"/>
      <c r="D1223" s="45"/>
      <c r="E1223" s="64"/>
      <c r="H1223" s="1"/>
    </row>
    <row r="1224" spans="1:8" ht="15" customHeight="1">
      <c r="A1224" s="332"/>
      <c r="B1224" s="333"/>
      <c r="C1224" s="66"/>
      <c r="D1224" s="66"/>
      <c r="E1224" s="67">
        <f>SUM(E1226:E1230)</f>
        <v>2.116</v>
      </c>
      <c r="H1224" s="1"/>
    </row>
    <row r="1225" spans="1:18" ht="15" customHeight="1">
      <c r="A1225" s="325" t="s">
        <v>5</v>
      </c>
      <c r="B1225" s="331"/>
      <c r="C1225" s="64" t="s">
        <v>17</v>
      </c>
      <c r="D1225" s="65" t="s">
        <v>18</v>
      </c>
      <c r="E1225" s="64" t="s">
        <v>7</v>
      </c>
      <c r="G1225" s="166" t="str">
        <f>CONCATENATE("Misc. Healthy parts/ Non Ferrous  Scrap, Lying at ",C1226,". Quantity in MT - ")</f>
        <v>Misc. Healthy parts/ Non Ferrous  Scrap, Lying at TRY Patran. Quantity in MT - </v>
      </c>
      <c r="H1225" s="324" t="str">
        <f ca="1">CONCATENATE(G1225,G1226,(INDIRECT(I1226)),(INDIRECT(J1226)),(INDIRECT(K1226)),(INDIRECT(L1226)),(INDIRECT(M1226)),(INDIRECT(N1226)),(INDIRECT(O1226)),(INDIRECT(P1226)),(INDIRECT(Q1226)),(INDIRECT(R1226)),".")</f>
        <v>Misc. Healthy parts/ Non Ferrous  Scrap, Lying at TRY Patran. Quantity in MT - Brass scrap - 0.921, Misc. Aluminium scrap - 0.119, Burnt Cu scrap - 0.04, Ms Nuts &amp; Bolts - 0.9, Iron scrap - 0.136, .</v>
      </c>
      <c r="I1225" s="98" t="str">
        <f aca="true" ca="1" t="array" ref="I1225">CELL("address",INDEX(G1225:G1246,MATCH(TRUE,ISBLANK(G1225:G1246),0)))</f>
        <v>$G$1231</v>
      </c>
      <c r="J1225" s="98">
        <f aca="true" t="array" ref="J1225">MATCH(TRUE,ISBLANK(G1225:G1246),0)</f>
        <v>7</v>
      </c>
      <c r="K1225" s="98">
        <f>J1225-3</f>
        <v>4</v>
      </c>
      <c r="L1225" s="98"/>
      <c r="M1225" s="98"/>
      <c r="N1225" s="98"/>
      <c r="O1225" s="98"/>
      <c r="P1225" s="98"/>
      <c r="Q1225" s="98"/>
      <c r="R1225" s="98"/>
    </row>
    <row r="1226" spans="1:18" ht="15" customHeight="1">
      <c r="A1226" s="321" t="s">
        <v>115</v>
      </c>
      <c r="B1226" s="321"/>
      <c r="C1226" s="394" t="s">
        <v>136</v>
      </c>
      <c r="D1226" s="40" t="s">
        <v>23</v>
      </c>
      <c r="E1226" s="46">
        <v>0.921</v>
      </c>
      <c r="F1226" s="98"/>
      <c r="G1226" s="101" t="str">
        <f>CONCATENATE(D1226," - ",E1226,", ")</f>
        <v>Brass scrap - 0.921, </v>
      </c>
      <c r="H1226" s="324"/>
      <c r="I1226" s="98" t="str">
        <f ca="1">IF(J1225&gt;=3,(MID(I1225,2,1)&amp;MID(I1225,4,4)-K1225),CELL("address",Z1226))</f>
        <v>G1227</v>
      </c>
      <c r="J1226" s="98" t="str">
        <f ca="1">IF(J1225&gt;=4,(MID(I1226,1,1)&amp;MID(I1226,2,4)+1),CELL("address",AA1226))</f>
        <v>G1228</v>
      </c>
      <c r="K1226" s="98" t="str">
        <f ca="1">IF(J1225&gt;=5,(MID(J1226,1,1)&amp;MID(J1226,2,4)+1),CELL("address",AB1226))</f>
        <v>G1229</v>
      </c>
      <c r="L1226" s="98" t="str">
        <f ca="1">IF(J1225&gt;=6,(MID(K1226,1,1)&amp;MID(K1226,2,4)+1),CELL("address",AC1226))</f>
        <v>G1230</v>
      </c>
      <c r="M1226" s="98" t="str">
        <f ca="1">IF(J1225&gt;=7,(MID(L1226,1,1)&amp;MID(L1226,2,4)+1),CELL("address",AD1226))</f>
        <v>G1231</v>
      </c>
      <c r="N1226" s="98" t="str">
        <f ca="1">IF(J1225&gt;=8,(MID(M1226,1,1)&amp;MID(M1226,2,4)+1),CELL("address",AE1226))</f>
        <v>$AE$1226</v>
      </c>
      <c r="O1226" s="98" t="str">
        <f ca="1">IF(J1225&gt;=9,(MID(N1226,1,1)&amp;MID(N1226,2,4)+1),CELL("address",AF1226))</f>
        <v>$AF$1226</v>
      </c>
      <c r="P1226" s="98" t="str">
        <f ca="1">IF(J1225&gt;=10,(MID(O1226,1,1)&amp;MID(O1226,2,4)+1),CELL("address",AG1226))</f>
        <v>$AG$1226</v>
      </c>
      <c r="Q1226" s="98" t="str">
        <f ca="1">IF(J1225&gt;=11,(MID(P1226,1,1)&amp;MID(P1226,2,4)+1),CELL("address",AH1226))</f>
        <v>$AH$1226</v>
      </c>
      <c r="R1226" s="98" t="str">
        <f ca="1">IF(J1225&gt;=12,(MID(Q1226,1,1)&amp;MID(Q1226,2,4)+1),CELL("address",AI1226))</f>
        <v>$AI$1226</v>
      </c>
    </row>
    <row r="1227" spans="1:15" ht="15" customHeight="1">
      <c r="A1227" s="321"/>
      <c r="B1227" s="321"/>
      <c r="C1227" s="395"/>
      <c r="D1227" s="40" t="s">
        <v>24</v>
      </c>
      <c r="E1227" s="46">
        <v>0.119</v>
      </c>
      <c r="F1227" s="98"/>
      <c r="G1227" s="101" t="str">
        <f>CONCATENATE(D1227," - ",E1227,", ")</f>
        <v>Misc. Aluminium scrap - 0.119, </v>
      </c>
      <c r="H1227" s="98"/>
      <c r="I1227" s="98"/>
      <c r="J1227" s="98"/>
      <c r="K1227" s="98"/>
      <c r="L1227" s="98"/>
      <c r="M1227" s="98"/>
      <c r="N1227" s="98"/>
      <c r="O1227" s="98"/>
    </row>
    <row r="1228" spans="1:15" ht="15" customHeight="1">
      <c r="A1228" s="321"/>
      <c r="B1228" s="321"/>
      <c r="C1228" s="395"/>
      <c r="D1228" s="40" t="s">
        <v>37</v>
      </c>
      <c r="E1228" s="46">
        <v>0.04</v>
      </c>
      <c r="G1228" s="101" t="str">
        <f>CONCATENATE(D1228," - ",E1228,", ")</f>
        <v>Burnt Cu scrap - 0.04, </v>
      </c>
      <c r="H1228" s="98"/>
      <c r="I1228" s="98"/>
      <c r="J1228" s="98"/>
      <c r="K1228" s="98"/>
      <c r="L1228" s="98"/>
      <c r="M1228" s="98"/>
      <c r="N1228" s="98"/>
      <c r="O1228" s="98"/>
    </row>
    <row r="1229" spans="1:8" ht="15" customHeight="1">
      <c r="A1229" s="321"/>
      <c r="B1229" s="321"/>
      <c r="C1229" s="395"/>
      <c r="D1229" s="45" t="s">
        <v>147</v>
      </c>
      <c r="E1229" s="46">
        <v>0.9</v>
      </c>
      <c r="G1229" s="101" t="str">
        <f>CONCATENATE(D1229," - ",E1229,", ")</f>
        <v>Ms Nuts &amp; Bolts - 0.9, </v>
      </c>
      <c r="H1229" s="1"/>
    </row>
    <row r="1230" spans="1:8" ht="15" customHeight="1">
      <c r="A1230" s="321"/>
      <c r="B1230" s="321"/>
      <c r="C1230" s="396"/>
      <c r="D1230" s="40" t="s">
        <v>27</v>
      </c>
      <c r="E1230" s="46">
        <v>0.136</v>
      </c>
      <c r="G1230" s="101" t="str">
        <f>CONCATENATE(D1230," - ",E1230,", ")</f>
        <v>Iron scrap - 0.136, </v>
      </c>
      <c r="H1230" s="1"/>
    </row>
    <row r="1231" spans="1:8" ht="15" customHeight="1">
      <c r="A1231" s="50"/>
      <c r="B1231" s="59"/>
      <c r="C1231" s="298"/>
      <c r="D1231" s="45"/>
      <c r="E1231" s="46"/>
      <c r="F1231" s="98"/>
      <c r="H1231" s="1"/>
    </row>
    <row r="1232" spans="1:15" ht="15" customHeight="1">
      <c r="A1232" s="332"/>
      <c r="B1232" s="333"/>
      <c r="C1232" s="66"/>
      <c r="D1232" s="66"/>
      <c r="E1232" s="67">
        <f>SUM(E1234:E1235)</f>
        <v>1.222</v>
      </c>
      <c r="F1232" s="98"/>
      <c r="G1232" s="98"/>
      <c r="H1232" s="98"/>
      <c r="I1232" s="98"/>
      <c r="J1232" s="98"/>
      <c r="K1232" s="98"/>
      <c r="L1232" s="98"/>
      <c r="M1232" s="98"/>
      <c r="N1232" s="98"/>
      <c r="O1232" s="98"/>
    </row>
    <row r="1233" spans="1:18" ht="15" customHeight="1">
      <c r="A1233" s="321" t="s">
        <v>5</v>
      </c>
      <c r="B1233" s="321"/>
      <c r="C1233" s="64" t="s">
        <v>17</v>
      </c>
      <c r="D1233" s="65" t="s">
        <v>18</v>
      </c>
      <c r="E1233" s="64" t="s">
        <v>7</v>
      </c>
      <c r="G1233" s="166" t="str">
        <f>CONCATENATE("Misc. Healthy parts/ Non Ferrous  Scrap, Lying at ",C1234,". Quantity in MT - ")</f>
        <v>Misc. Healthy parts/ Non Ferrous  Scrap, Lying at TRY Patran. Quantity in MT - </v>
      </c>
      <c r="H1233" s="324" t="str">
        <f ca="1">CONCATENATE(G1233,G1234,(INDIRECT(I1234)),(INDIRECT(J1234)),(INDIRECT(K1234)),(INDIRECT(L1234)),(INDIRECT(M1234)),(INDIRECT(N1234)),(INDIRECT(O1234)),(INDIRECT(P1234)),(INDIRECT(Q1234)),(INDIRECT(R1234)),".")</f>
        <v>Misc. Healthy parts/ Non Ferrous  Scrap, Lying at TRY Patran. Quantity in MT - Brass scrap - 1.148, Misc. Alumn. Scrap - 0.074, .</v>
      </c>
      <c r="I1233" s="98" t="str">
        <f aca="true" ca="1" t="array" ref="I1233">CELL("address",INDEX(G1233:G1254,MATCH(TRUE,ISBLANK(G1233:G1254),0)))</f>
        <v>$G$1236</v>
      </c>
      <c r="J1233" s="98">
        <f aca="true" t="array" ref="J1233">MATCH(TRUE,ISBLANK(G1233:G1254),0)</f>
        <v>4</v>
      </c>
      <c r="K1233" s="98">
        <f>J1233-3</f>
        <v>1</v>
      </c>
      <c r="L1233" s="98"/>
      <c r="M1233" s="98"/>
      <c r="N1233" s="98"/>
      <c r="O1233" s="98"/>
      <c r="P1233" s="98"/>
      <c r="Q1233" s="98"/>
      <c r="R1233" s="98"/>
    </row>
    <row r="1234" spans="1:18" ht="15" customHeight="1">
      <c r="A1234" s="321" t="s">
        <v>117</v>
      </c>
      <c r="B1234" s="321"/>
      <c r="C1234" s="330" t="s">
        <v>136</v>
      </c>
      <c r="D1234" s="45" t="s">
        <v>23</v>
      </c>
      <c r="E1234" s="45">
        <v>1.148</v>
      </c>
      <c r="G1234" s="101" t="str">
        <f>CONCATENATE(D1234," - ",E1234,", ")</f>
        <v>Brass scrap - 1.148, </v>
      </c>
      <c r="H1234" s="324"/>
      <c r="I1234" s="98" t="str">
        <f ca="1">IF(J1233&gt;=3,(MID(I1233,2,1)&amp;MID(I1233,4,4)-K1233),CELL("address",Z1234))</f>
        <v>G1235</v>
      </c>
      <c r="J1234" s="98" t="str">
        <f ca="1">IF(J1233&gt;=4,(MID(I1234,1,1)&amp;MID(I1234,2,4)+1),CELL("address",AA1234))</f>
        <v>G1236</v>
      </c>
      <c r="K1234" s="98" t="str">
        <f ca="1">IF(J1233&gt;=5,(MID(J1234,1,1)&amp;MID(J1234,2,4)+1),CELL("address",AB1234))</f>
        <v>$AB$1234</v>
      </c>
      <c r="L1234" s="98" t="str">
        <f ca="1">IF(J1233&gt;=6,(MID(K1234,1,1)&amp;MID(K1234,2,4)+1),CELL("address",AC1234))</f>
        <v>$AC$1234</v>
      </c>
      <c r="M1234" s="98" t="str">
        <f ca="1">IF(J1233&gt;=7,(MID(L1234,1,1)&amp;MID(L1234,2,4)+1),CELL("address",AD1234))</f>
        <v>$AD$1234</v>
      </c>
      <c r="N1234" s="98" t="str">
        <f ca="1">IF(J1233&gt;=8,(MID(M1234,1,1)&amp;MID(M1234,2,4)+1),CELL("address",AE1234))</f>
        <v>$AE$1234</v>
      </c>
      <c r="O1234" s="98" t="str">
        <f ca="1">IF(J1233&gt;=9,(MID(N1234,1,1)&amp;MID(N1234,2,4)+1),CELL("address",AF1234))</f>
        <v>$AF$1234</v>
      </c>
      <c r="P1234" s="98" t="str">
        <f ca="1">IF(J1233&gt;=10,(MID(O1234,1,1)&amp;MID(O1234,2,4)+1),CELL("address",AG1234))</f>
        <v>$AG$1234</v>
      </c>
      <c r="Q1234" s="98" t="str">
        <f ca="1">IF(J1233&gt;=11,(MID(P1234,1,1)&amp;MID(P1234,2,4)+1),CELL("address",AH1234))</f>
        <v>$AH$1234</v>
      </c>
      <c r="R1234" s="98" t="str">
        <f ca="1">IF(J1233&gt;=12,(MID(Q1234,1,1)&amp;MID(Q1234,2,4)+1),CELL("address",AI1234))</f>
        <v>$AI$1234</v>
      </c>
    </row>
    <row r="1235" spans="1:15" ht="15" customHeight="1">
      <c r="A1235" s="321"/>
      <c r="B1235" s="321"/>
      <c r="C1235" s="330"/>
      <c r="D1235" s="45" t="s">
        <v>31</v>
      </c>
      <c r="E1235" s="64">
        <v>0.074</v>
      </c>
      <c r="G1235" s="101" t="str">
        <f>CONCATENATE(D1235," - ",E1235,", ")</f>
        <v>Misc. Alumn. Scrap - 0.074, </v>
      </c>
      <c r="H1235" s="1"/>
      <c r="I1235" s="98"/>
      <c r="J1235" s="98"/>
      <c r="K1235" s="98"/>
      <c r="L1235" s="98"/>
      <c r="M1235" s="98"/>
      <c r="N1235" s="98"/>
      <c r="O1235" s="98"/>
    </row>
    <row r="1236" spans="1:8" ht="15" customHeight="1">
      <c r="A1236" s="35"/>
      <c r="F1236" s="98"/>
      <c r="H1236" s="1"/>
    </row>
    <row r="1237" spans="1:15" ht="15" customHeight="1">
      <c r="A1237" s="332"/>
      <c r="B1237" s="333"/>
      <c r="C1237" s="66"/>
      <c r="D1237" s="66"/>
      <c r="E1237" s="67">
        <f>SUM(E1239:E1240)</f>
        <v>2.171</v>
      </c>
      <c r="F1237" s="98"/>
      <c r="G1237" s="98"/>
      <c r="H1237" s="98"/>
      <c r="I1237" s="98"/>
      <c r="J1237" s="98"/>
      <c r="K1237" s="98"/>
      <c r="L1237" s="98"/>
      <c r="M1237" s="98"/>
      <c r="N1237" s="98"/>
      <c r="O1237" s="98"/>
    </row>
    <row r="1238" spans="1:18" ht="15" customHeight="1">
      <c r="A1238" s="321" t="s">
        <v>5</v>
      </c>
      <c r="B1238" s="321"/>
      <c r="C1238" s="64" t="s">
        <v>17</v>
      </c>
      <c r="D1238" s="65" t="s">
        <v>18</v>
      </c>
      <c r="E1238" s="64" t="s">
        <v>7</v>
      </c>
      <c r="G1238" s="166" t="str">
        <f>CONCATENATE("Misc. Healthy parts/ Non Ferrous  Scrap, Lying at ",C1239,". Quantity in MT - ")</f>
        <v>Misc. Healthy parts/ Non Ferrous  Scrap, Lying at TRY Ropar. Quantity in MT - </v>
      </c>
      <c r="H1238" s="324" t="str">
        <f ca="1">CONCATENATE(G1238,G1239,(INDIRECT(I1239)),(INDIRECT(J1239)),(INDIRECT(K1239)),(INDIRECT(L1239)),(INDIRECT(M1239)),(INDIRECT(N1239)),(INDIRECT(O1239)),(INDIRECT(P1239)),(INDIRECT(Q1239)),(INDIRECT(R1239)),".")</f>
        <v>Misc. Healthy parts/ Non Ferrous  Scrap, Lying at TRY Ropar. Quantity in MT - Brass scrap - 2.008, Misc. Alumn. Scrap - 0.163, .</v>
      </c>
      <c r="I1238" s="98" t="str">
        <f aca="true" ca="1" t="array" ref="I1238">CELL("address",INDEX(G1238:G1259,MATCH(TRUE,ISBLANK(G1238:G1259),0)))</f>
        <v>$G$1241</v>
      </c>
      <c r="J1238" s="98">
        <f aca="true" t="array" ref="J1238">MATCH(TRUE,ISBLANK(G1238:G1259),0)</f>
        <v>4</v>
      </c>
      <c r="K1238" s="98">
        <f>J1238-3</f>
        <v>1</v>
      </c>
      <c r="L1238" s="98"/>
      <c r="M1238" s="98"/>
      <c r="N1238" s="98"/>
      <c r="O1238" s="98"/>
      <c r="P1238" s="98"/>
      <c r="Q1238" s="98"/>
      <c r="R1238" s="98"/>
    </row>
    <row r="1239" spans="1:18" ht="15" customHeight="1">
      <c r="A1239" s="321" t="s">
        <v>118</v>
      </c>
      <c r="B1239" s="321"/>
      <c r="C1239" s="330" t="s">
        <v>143</v>
      </c>
      <c r="D1239" s="34" t="s">
        <v>23</v>
      </c>
      <c r="E1239" s="34">
        <v>2.008</v>
      </c>
      <c r="F1239" s="1">
        <v>2.007</v>
      </c>
      <c r="G1239" s="101" t="str">
        <f>CONCATENATE(D1239," - ",E1239,", ")</f>
        <v>Brass scrap - 2.008, </v>
      </c>
      <c r="H1239" s="324"/>
      <c r="I1239" s="98" t="str">
        <f ca="1">IF(J1238&gt;=3,(MID(I1238,2,1)&amp;MID(I1238,4,4)-K1238),CELL("address",Z1239))</f>
        <v>G1240</v>
      </c>
      <c r="J1239" s="98" t="str">
        <f ca="1">IF(J1238&gt;=4,(MID(I1239,1,1)&amp;MID(I1239,2,4)+1),CELL("address",AA1239))</f>
        <v>G1241</v>
      </c>
      <c r="K1239" s="98" t="str">
        <f ca="1">IF(J1238&gt;=5,(MID(J1239,1,1)&amp;MID(J1239,2,4)+1),CELL("address",AB1239))</f>
        <v>$AB$1239</v>
      </c>
      <c r="L1239" s="98" t="str">
        <f ca="1">IF(J1238&gt;=6,(MID(K1239,1,1)&amp;MID(K1239,2,4)+1),CELL("address",AC1239))</f>
        <v>$AC$1239</v>
      </c>
      <c r="M1239" s="98" t="str">
        <f ca="1">IF(J1238&gt;=7,(MID(L1239,1,1)&amp;MID(L1239,2,4)+1),CELL("address",AD1239))</f>
        <v>$AD$1239</v>
      </c>
      <c r="N1239" s="98" t="str">
        <f ca="1">IF(J1238&gt;=8,(MID(M1239,1,1)&amp;MID(M1239,2,4)+1),CELL("address",AE1239))</f>
        <v>$AE$1239</v>
      </c>
      <c r="O1239" s="98" t="str">
        <f ca="1">IF(J1238&gt;=9,(MID(N1239,1,1)&amp;MID(N1239,2,4)+1),CELL("address",AF1239))</f>
        <v>$AF$1239</v>
      </c>
      <c r="P1239" s="98" t="str">
        <f ca="1">IF(J1238&gt;=10,(MID(O1239,1,1)&amp;MID(O1239,2,4)+1),CELL("address",AG1239))</f>
        <v>$AG$1239</v>
      </c>
      <c r="Q1239" s="98" t="str">
        <f ca="1">IF(J1238&gt;=11,(MID(P1239,1,1)&amp;MID(P1239,2,4)+1),CELL("address",AH1239))</f>
        <v>$AH$1239</v>
      </c>
      <c r="R1239" s="98" t="str">
        <f ca="1">IF(J1238&gt;=12,(MID(Q1239,1,1)&amp;MID(Q1239,2,4)+1),CELL("address",AI1239))</f>
        <v>$AI$1239</v>
      </c>
    </row>
    <row r="1240" spans="1:15" ht="15" customHeight="1">
      <c r="A1240" s="321"/>
      <c r="B1240" s="321"/>
      <c r="C1240" s="330"/>
      <c r="D1240" s="45" t="s">
        <v>31</v>
      </c>
      <c r="E1240" s="64">
        <v>0.163</v>
      </c>
      <c r="F1240" s="1">
        <v>0.163</v>
      </c>
      <c r="G1240" s="101" t="str">
        <f>CONCATENATE(D1240," - ",E1240,", ")</f>
        <v>Misc. Alumn. Scrap - 0.163, </v>
      </c>
      <c r="H1240" s="1"/>
      <c r="I1240" s="98"/>
      <c r="J1240" s="98"/>
      <c r="K1240" s="98"/>
      <c r="L1240" s="98"/>
      <c r="M1240" s="98"/>
      <c r="N1240" s="98"/>
      <c r="O1240" s="98"/>
    </row>
    <row r="1241" spans="1:8" ht="15" customHeight="1">
      <c r="A1241" s="51"/>
      <c r="B1241" s="54"/>
      <c r="C1241" s="19"/>
      <c r="D1241" s="83"/>
      <c r="E1241" s="82"/>
      <c r="H1241" s="1"/>
    </row>
    <row r="1242" spans="1:8" ht="15" customHeight="1">
      <c r="A1242" s="332"/>
      <c r="B1242" s="333"/>
      <c r="C1242" s="66"/>
      <c r="D1242" s="66"/>
      <c r="E1242" s="67">
        <f>SUM(E1244:E1249)</f>
        <v>1.9560000000000002</v>
      </c>
      <c r="H1242" s="1"/>
    </row>
    <row r="1243" spans="1:18" ht="15" customHeight="1">
      <c r="A1243" s="321" t="s">
        <v>5</v>
      </c>
      <c r="B1243" s="321"/>
      <c r="C1243" s="64" t="s">
        <v>17</v>
      </c>
      <c r="D1243" s="65" t="s">
        <v>18</v>
      </c>
      <c r="E1243" s="64" t="s">
        <v>7</v>
      </c>
      <c r="G1243" s="166" t="str">
        <f>CONCATENATE("Misc. Healthy parts/ Non Ferrous  Scrap, Lying at ",C1244,". Quantity in MT - ")</f>
        <v>Misc. Healthy parts/ Non Ferrous  Scrap, Lying at TRY Patiala. Quantity in MT - </v>
      </c>
      <c r="H1243" s="324" t="str">
        <f ca="1">CONCATENATE(G1243,G1244,(INDIRECT(I1244)),(INDIRECT(J1244)),(INDIRECT(K1244)),(INDIRECT(L1244)),(INDIRECT(M1244)),(INDIRECT(N1244)),(INDIRECT(O1244)),(INDIRECT(P1244)),(INDIRECT(Q1244)),(INDIRECT(R1244)),".")</f>
        <v>Misc. Healthy parts/ Non Ferrous  Scrap, Lying at TRY Patiala. Quantity in MT - Brass scrap - 0.768, Misc. Alumn. Scrap - 0.069, Burnt Cu scrap - 0.055, Nuts &amp; Bolts scrap - 0.87, Teen Patra scrap - 0.136, M.S Iron scrap - 0.058, .</v>
      </c>
      <c r="I1243" s="98" t="str">
        <f aca="true" ca="1" t="array" ref="I1243">CELL("address",INDEX(G1243:G1264,MATCH(TRUE,ISBLANK(G1243:G1264),0)))</f>
        <v>$G$1250</v>
      </c>
      <c r="J1243" s="98">
        <f aca="true" t="array" ref="J1243">MATCH(TRUE,ISBLANK(G1243:G1264),0)</f>
        <v>8</v>
      </c>
      <c r="K1243" s="98">
        <f>J1243-3</f>
        <v>5</v>
      </c>
      <c r="L1243" s="98"/>
      <c r="M1243" s="98"/>
      <c r="N1243" s="98"/>
      <c r="O1243" s="98"/>
      <c r="P1243" s="98"/>
      <c r="Q1243" s="98"/>
      <c r="R1243" s="98"/>
    </row>
    <row r="1244" spans="1:18" ht="15" customHeight="1">
      <c r="A1244" s="321" t="s">
        <v>125</v>
      </c>
      <c r="B1244" s="321"/>
      <c r="C1244" s="330" t="s">
        <v>120</v>
      </c>
      <c r="D1244" s="45" t="s">
        <v>23</v>
      </c>
      <c r="E1244" s="47">
        <v>0.768</v>
      </c>
      <c r="G1244" s="101" t="str">
        <f aca="true" t="shared" si="10" ref="G1244:G1249">CONCATENATE(D1244," - ",E1244,", ")</f>
        <v>Brass scrap - 0.768, </v>
      </c>
      <c r="H1244" s="324"/>
      <c r="I1244" s="98" t="str">
        <f ca="1">IF(J1243&gt;=3,(MID(I1243,2,1)&amp;MID(I1243,4,4)-K1243),CELL("address",Z1244))</f>
        <v>G1245</v>
      </c>
      <c r="J1244" s="98" t="str">
        <f ca="1">IF(J1243&gt;=4,(MID(I1244,1,1)&amp;MID(I1244,2,4)+1),CELL("address",AA1244))</f>
        <v>G1246</v>
      </c>
      <c r="K1244" s="98" t="str">
        <f ca="1">IF(J1243&gt;=5,(MID(J1244,1,1)&amp;MID(J1244,2,4)+1),CELL("address",AB1244))</f>
        <v>G1247</v>
      </c>
      <c r="L1244" s="98" t="str">
        <f ca="1">IF(J1243&gt;=6,(MID(K1244,1,1)&amp;MID(K1244,2,4)+1),CELL("address",AC1244))</f>
        <v>G1248</v>
      </c>
      <c r="M1244" s="98" t="str">
        <f ca="1">IF(J1243&gt;=7,(MID(L1244,1,1)&amp;MID(L1244,2,4)+1),CELL("address",AD1244))</f>
        <v>G1249</v>
      </c>
      <c r="N1244" s="98" t="str">
        <f ca="1">IF(J1243&gt;=8,(MID(M1244,1,1)&amp;MID(M1244,2,4)+1),CELL("address",AE1244))</f>
        <v>G1250</v>
      </c>
      <c r="O1244" s="98" t="str">
        <f ca="1">IF(J1243&gt;=9,(MID(N1244,1,1)&amp;MID(N1244,2,4)+1),CELL("address",AF1244))</f>
        <v>$AF$1244</v>
      </c>
      <c r="P1244" s="98" t="str">
        <f ca="1">IF(J1243&gt;=10,(MID(O1244,1,1)&amp;MID(O1244,2,4)+1),CELL("address",AG1244))</f>
        <v>$AG$1244</v>
      </c>
      <c r="Q1244" s="98" t="str">
        <f ca="1">IF(J1243&gt;=11,(MID(P1244,1,1)&amp;MID(P1244,2,4)+1),CELL("address",AH1244))</f>
        <v>$AH$1244</v>
      </c>
      <c r="R1244" s="98" t="str">
        <f ca="1">IF(J1243&gt;=12,(MID(Q1244,1,1)&amp;MID(Q1244,2,4)+1),CELL("address",AI1244))</f>
        <v>$AI$1244</v>
      </c>
    </row>
    <row r="1245" spans="1:15" ht="15" customHeight="1">
      <c r="A1245" s="321"/>
      <c r="B1245" s="321"/>
      <c r="C1245" s="330"/>
      <c r="D1245" s="45" t="s">
        <v>31</v>
      </c>
      <c r="E1245" s="73">
        <v>0.069</v>
      </c>
      <c r="F1245" s="98"/>
      <c r="G1245" s="101" t="str">
        <f t="shared" si="10"/>
        <v>Misc. Alumn. Scrap - 0.069, </v>
      </c>
      <c r="H1245" s="1"/>
      <c r="I1245" s="98"/>
      <c r="J1245" s="98"/>
      <c r="K1245" s="98"/>
      <c r="L1245" s="98"/>
      <c r="M1245" s="98"/>
      <c r="N1245" s="98"/>
      <c r="O1245" s="98"/>
    </row>
    <row r="1246" spans="1:15" ht="15" customHeight="1">
      <c r="A1246" s="321"/>
      <c r="B1246" s="321"/>
      <c r="C1246" s="330"/>
      <c r="D1246" s="40" t="s">
        <v>37</v>
      </c>
      <c r="E1246" s="181">
        <v>0.055</v>
      </c>
      <c r="F1246" s="98"/>
      <c r="G1246" s="101" t="str">
        <f t="shared" si="10"/>
        <v>Burnt Cu scrap - 0.055, </v>
      </c>
      <c r="H1246" s="98"/>
      <c r="I1246" s="98"/>
      <c r="J1246" s="98"/>
      <c r="K1246" s="98"/>
      <c r="L1246" s="98"/>
      <c r="M1246" s="98"/>
      <c r="N1246" s="98"/>
      <c r="O1246" s="98"/>
    </row>
    <row r="1247" spans="1:15" ht="15" customHeight="1">
      <c r="A1247" s="321"/>
      <c r="B1247" s="321"/>
      <c r="C1247" s="330"/>
      <c r="D1247" s="40" t="s">
        <v>58</v>
      </c>
      <c r="E1247" s="181">
        <v>0.87</v>
      </c>
      <c r="G1247" s="101" t="str">
        <f t="shared" si="10"/>
        <v>Nuts &amp; Bolts scrap - 0.87, </v>
      </c>
      <c r="H1247" s="98"/>
      <c r="I1247" s="98"/>
      <c r="J1247" s="98"/>
      <c r="K1247" s="98"/>
      <c r="L1247" s="98"/>
      <c r="M1247" s="98"/>
      <c r="N1247" s="98"/>
      <c r="O1247" s="98"/>
    </row>
    <row r="1248" spans="1:8" ht="15" customHeight="1">
      <c r="A1248" s="321"/>
      <c r="B1248" s="321"/>
      <c r="C1248" s="330"/>
      <c r="D1248" s="40" t="s">
        <v>64</v>
      </c>
      <c r="E1248" s="181">
        <v>0.136</v>
      </c>
      <c r="G1248" s="101" t="str">
        <f t="shared" si="10"/>
        <v>Teen Patra scrap - 0.136, </v>
      </c>
      <c r="H1248" s="1"/>
    </row>
    <row r="1249" spans="1:8" ht="15" customHeight="1">
      <c r="A1249" s="321"/>
      <c r="B1249" s="321"/>
      <c r="C1249" s="330"/>
      <c r="D1249" s="40" t="s">
        <v>395</v>
      </c>
      <c r="E1249" s="181">
        <v>0.058</v>
      </c>
      <c r="F1249" s="98"/>
      <c r="G1249" s="101" t="str">
        <f t="shared" si="10"/>
        <v>M.S Iron scrap - 0.058, </v>
      </c>
      <c r="H1249" s="1"/>
    </row>
    <row r="1250" spans="1:15" ht="15" customHeight="1">
      <c r="A1250" s="35"/>
      <c r="B1250" s="1"/>
      <c r="C1250" s="1"/>
      <c r="D1250" s="1"/>
      <c r="E1250" s="1"/>
      <c r="F1250" s="98"/>
      <c r="G1250" s="98"/>
      <c r="H1250" s="98"/>
      <c r="I1250" s="98"/>
      <c r="J1250" s="98"/>
      <c r="K1250" s="98"/>
      <c r="L1250" s="98"/>
      <c r="M1250" s="98"/>
      <c r="N1250" s="98"/>
      <c r="O1250" s="98"/>
    </row>
    <row r="1251" spans="1:15" ht="15" customHeight="1">
      <c r="A1251" s="332"/>
      <c r="B1251" s="333"/>
      <c r="C1251" s="66"/>
      <c r="D1251" s="66"/>
      <c r="E1251" s="67">
        <f>SUM(E1253:E1253)</f>
        <v>0.011</v>
      </c>
      <c r="G1251" s="98"/>
      <c r="H1251" s="98"/>
      <c r="I1251" s="98"/>
      <c r="J1251" s="98"/>
      <c r="K1251" s="98"/>
      <c r="L1251" s="98"/>
      <c r="M1251" s="98"/>
      <c r="N1251" s="98"/>
      <c r="O1251" s="98"/>
    </row>
    <row r="1252" spans="1:18" ht="15" customHeight="1">
      <c r="A1252" s="321" t="s">
        <v>5</v>
      </c>
      <c r="B1252" s="321"/>
      <c r="C1252" s="64" t="s">
        <v>17</v>
      </c>
      <c r="D1252" s="65" t="s">
        <v>18</v>
      </c>
      <c r="E1252" s="64" t="s">
        <v>7</v>
      </c>
      <c r="G1252" s="166" t="str">
        <f>CONCATENATE("Misc. Healthy parts/ Non Ferrous  Scrap, Lying at ",C1253,". Quantity in MT - ")</f>
        <v>Misc. Healthy parts/ Non Ferrous  Scrap, Lying at CS Malout. Quantity in MT - </v>
      </c>
      <c r="H1252" s="324" t="str">
        <f ca="1">CONCATENATE(G1252,G1253,(INDIRECT(I1253)),(INDIRECT(J1253)),(INDIRECT(K1253)),(INDIRECT(L1253)),(INDIRECT(M1253)),(INDIRECT(N1253)),(INDIRECT(O1253)),(INDIRECT(P1253)),(INDIRECT(Q1253)),(INDIRECT(R1253)),".")</f>
        <v>Misc. Healthy parts/ Non Ferrous  Scrap, Lying at CS Malout. Quantity in MT - Brass scrap - 0.011, .</v>
      </c>
      <c r="I1252" s="98" t="str">
        <f aca="true" ca="1" t="array" ref="I1252">CELL("address",INDEX(G1252:G1273,MATCH(TRUE,ISBLANK(G1252:G1273),0)))</f>
        <v>$G$1254</v>
      </c>
      <c r="J1252" s="98">
        <f aca="true" t="array" ref="J1252">MATCH(TRUE,ISBLANK(G1252:G1273),0)</f>
        <v>3</v>
      </c>
      <c r="K1252" s="98">
        <f>J1252-3</f>
        <v>0</v>
      </c>
      <c r="L1252" s="98"/>
      <c r="M1252" s="98"/>
      <c r="N1252" s="98"/>
      <c r="O1252" s="98"/>
      <c r="P1252" s="98"/>
      <c r="Q1252" s="98"/>
      <c r="R1252" s="98"/>
    </row>
    <row r="1253" spans="1:18" ht="15" customHeight="1">
      <c r="A1253" s="321" t="s">
        <v>133</v>
      </c>
      <c r="B1253" s="321"/>
      <c r="C1253" s="296" t="s">
        <v>95</v>
      </c>
      <c r="D1253" s="45" t="s">
        <v>23</v>
      </c>
      <c r="E1253" s="47">
        <v>0.011</v>
      </c>
      <c r="F1253" s="98"/>
      <c r="G1253" s="101" t="str">
        <f>CONCATENATE(D1253," - ",E1253,", ")</f>
        <v>Brass scrap - 0.011, </v>
      </c>
      <c r="H1253" s="324"/>
      <c r="I1253" s="98" t="str">
        <f ca="1">IF(J1252&gt;=3,(MID(I1252,2,1)&amp;MID(I1252,4,4)-K1252),CELL("address",Z1253))</f>
        <v>G1254</v>
      </c>
      <c r="J1253" s="98" t="str">
        <f ca="1">IF(J1252&gt;=4,(MID(I1253,1,1)&amp;MID(I1253,2,4)+1),CELL("address",AA1253))</f>
        <v>$AA$1253</v>
      </c>
      <c r="K1253" s="98" t="str">
        <f ca="1">IF(J1252&gt;=5,(MID(J1253,1,1)&amp;MID(J1253,2,4)+1),CELL("address",AB1253))</f>
        <v>$AB$1253</v>
      </c>
      <c r="L1253" s="98" t="str">
        <f ca="1">IF(J1252&gt;=6,(MID(K1253,1,1)&amp;MID(K1253,2,4)+1),CELL("address",AC1253))</f>
        <v>$AC$1253</v>
      </c>
      <c r="M1253" s="98" t="str">
        <f ca="1">IF(J1252&gt;=7,(MID(L1253,1,1)&amp;MID(L1253,2,4)+1),CELL("address",AD1253))</f>
        <v>$AD$1253</v>
      </c>
      <c r="N1253" s="98" t="str">
        <f ca="1">IF(J1252&gt;=8,(MID(M1253,1,1)&amp;MID(M1253,2,4)+1),CELL("address",AE1253))</f>
        <v>$AE$1253</v>
      </c>
      <c r="O1253" s="98" t="str">
        <f ca="1">IF(J1252&gt;=9,(MID(N1253,1,1)&amp;MID(N1253,2,4)+1),CELL("address",AF1253))</f>
        <v>$AF$1253</v>
      </c>
      <c r="P1253" s="98" t="str">
        <f ca="1">IF(J1252&gt;=10,(MID(O1253,1,1)&amp;MID(O1253,2,4)+1),CELL("address",AG1253))</f>
        <v>$AG$1253</v>
      </c>
      <c r="Q1253" s="98" t="str">
        <f ca="1">IF(J1252&gt;=11,(MID(P1253,1,1)&amp;MID(P1253,2,4)+1),CELL("address",AH1253))</f>
        <v>$AH$1253</v>
      </c>
      <c r="R1253" s="98" t="str">
        <f ca="1">IF(J1252&gt;=12,(MID(Q1253,1,1)&amp;MID(Q1253,2,4)+1),CELL("address",AI1253))</f>
        <v>$AI$1253</v>
      </c>
    </row>
    <row r="1254" spans="1:15" ht="15" customHeight="1">
      <c r="A1254" s="341"/>
      <c r="B1254" s="342"/>
      <c r="C1254" s="92"/>
      <c r="D1254" s="92"/>
      <c r="E1254" s="92"/>
      <c r="F1254" s="98"/>
      <c r="G1254" s="98"/>
      <c r="H1254" s="98"/>
      <c r="I1254" s="98"/>
      <c r="J1254" s="98"/>
      <c r="K1254" s="98"/>
      <c r="L1254" s="98"/>
      <c r="M1254" s="98"/>
      <c r="N1254" s="98"/>
      <c r="O1254" s="98"/>
    </row>
    <row r="1255" spans="1:15" ht="15" customHeight="1">
      <c r="A1255" s="332"/>
      <c r="B1255" s="333"/>
      <c r="C1255" s="66"/>
      <c r="D1255" s="66"/>
      <c r="E1255" s="67">
        <f>SUM(E1257:E1257)</f>
        <v>1</v>
      </c>
      <c r="G1255" s="98"/>
      <c r="H1255" s="98"/>
      <c r="I1255" s="98"/>
      <c r="J1255" s="98"/>
      <c r="K1255" s="98"/>
      <c r="L1255" s="98"/>
      <c r="M1255" s="98"/>
      <c r="N1255" s="98"/>
      <c r="O1255" s="98"/>
    </row>
    <row r="1256" spans="1:18" ht="15" customHeight="1">
      <c r="A1256" s="321" t="s">
        <v>5</v>
      </c>
      <c r="B1256" s="321"/>
      <c r="C1256" s="64" t="s">
        <v>17</v>
      </c>
      <c r="D1256" s="65" t="s">
        <v>18</v>
      </c>
      <c r="E1256" s="64" t="s">
        <v>7</v>
      </c>
      <c r="G1256" s="166" t="str">
        <f>CONCATENATE("Misc. Healthy parts/ Non Ferrous  Scrap, Lying at ",C1257,". Quantity in MT - ")</f>
        <v>Misc. Healthy parts/ Non Ferrous  Scrap, Lying at TRY Bathinda. Quantity in MT - </v>
      </c>
      <c r="H1256" s="324" t="str">
        <f ca="1">CONCATENATE(G1256,G1257,(INDIRECT(I1257)),(INDIRECT(J1257)),(INDIRECT(K1257)),(INDIRECT(L1257)),(INDIRECT(M1257)),(INDIRECT(N1257)),(INDIRECT(O1257)),(INDIRECT(P1257)),(INDIRECT(Q1257)),(INDIRECT(R1257)),".")</f>
        <v>Misc. Healthy parts/ Non Ferrous  Scrap, Lying at TRY Bathinda. Quantity in MT - Brass scrap - 1, .</v>
      </c>
      <c r="I1256" s="98" t="str">
        <f aca="true" ca="1" t="array" ref="I1256">CELL("address",INDEX(G1256:G1277,MATCH(TRUE,ISBLANK(G1256:G1277),0)))</f>
        <v>$G$1258</v>
      </c>
      <c r="J1256" s="98">
        <f aca="true" t="array" ref="J1256">MATCH(TRUE,ISBLANK(G1256:G1277),0)</f>
        <v>3</v>
      </c>
      <c r="K1256" s="98">
        <f>J1256-3</f>
        <v>0</v>
      </c>
      <c r="L1256" s="98"/>
      <c r="M1256" s="98"/>
      <c r="N1256" s="98"/>
      <c r="O1256" s="98"/>
      <c r="P1256" s="98"/>
      <c r="Q1256" s="98"/>
      <c r="R1256" s="98"/>
    </row>
    <row r="1257" spans="1:18" ht="15" customHeight="1">
      <c r="A1257" s="321" t="s">
        <v>134</v>
      </c>
      <c r="B1257" s="321"/>
      <c r="C1257" s="296" t="s">
        <v>36</v>
      </c>
      <c r="D1257" s="40" t="s">
        <v>23</v>
      </c>
      <c r="E1257" s="46">
        <v>1</v>
      </c>
      <c r="F1257" s="98"/>
      <c r="G1257" s="101" t="str">
        <f>CONCATENATE(D1257," - ",E1257,", ")</f>
        <v>Brass scrap - 1, </v>
      </c>
      <c r="H1257" s="324"/>
      <c r="I1257" s="98" t="str">
        <f ca="1">IF(J1256&gt;=3,(MID(I1256,2,1)&amp;MID(I1256,4,4)-K1256),CELL("address",Z1257))</f>
        <v>G1258</v>
      </c>
      <c r="J1257" s="98" t="str">
        <f ca="1">IF(J1256&gt;=4,(MID(I1257,1,1)&amp;MID(I1257,2,4)+1),CELL("address",AA1257))</f>
        <v>$AA$1257</v>
      </c>
      <c r="K1257" s="98" t="str">
        <f ca="1">IF(J1256&gt;=5,(MID(J1257,1,1)&amp;MID(J1257,2,4)+1),CELL("address",AB1257))</f>
        <v>$AB$1257</v>
      </c>
      <c r="L1257" s="98" t="str">
        <f ca="1">IF(J1256&gt;=6,(MID(K1257,1,1)&amp;MID(K1257,2,4)+1),CELL("address",AC1257))</f>
        <v>$AC$1257</v>
      </c>
      <c r="M1257" s="98" t="str">
        <f ca="1">IF(J1256&gt;=7,(MID(L1257,1,1)&amp;MID(L1257,2,4)+1),CELL("address",AD1257))</f>
        <v>$AD$1257</v>
      </c>
      <c r="N1257" s="98" t="str">
        <f ca="1">IF(J1256&gt;=8,(MID(M1257,1,1)&amp;MID(M1257,2,4)+1),CELL("address",AE1257))</f>
        <v>$AE$1257</v>
      </c>
      <c r="O1257" s="98" t="str">
        <f ca="1">IF(J1256&gt;=9,(MID(N1257,1,1)&amp;MID(N1257,2,4)+1),CELL("address",AF1257))</f>
        <v>$AF$1257</v>
      </c>
      <c r="P1257" s="98" t="str">
        <f ca="1">IF(J1256&gt;=10,(MID(O1257,1,1)&amp;MID(O1257,2,4)+1),CELL("address",AG1257))</f>
        <v>$AG$1257</v>
      </c>
      <c r="Q1257" s="98" t="str">
        <f ca="1">IF(J1256&gt;=11,(MID(P1257,1,1)&amp;MID(P1257,2,4)+1),CELL("address",AH1257))</f>
        <v>$AH$1257</v>
      </c>
      <c r="R1257" s="98" t="str">
        <f ca="1">IF(J1256&gt;=12,(MID(Q1257,1,1)&amp;MID(Q1257,2,4)+1),CELL("address",AI1257))</f>
        <v>$AI$1257</v>
      </c>
    </row>
    <row r="1258" spans="1:15" ht="15" customHeight="1">
      <c r="A1258" s="341"/>
      <c r="B1258" s="342"/>
      <c r="C1258" s="92"/>
      <c r="D1258" s="92"/>
      <c r="E1258" s="92"/>
      <c r="F1258" s="98"/>
      <c r="G1258" s="98"/>
      <c r="H1258" s="98"/>
      <c r="I1258" s="98"/>
      <c r="J1258" s="98"/>
      <c r="K1258" s="98"/>
      <c r="L1258" s="98"/>
      <c r="M1258" s="98"/>
      <c r="N1258" s="98"/>
      <c r="O1258" s="98"/>
    </row>
    <row r="1259" spans="1:15" ht="15" customHeight="1">
      <c r="A1259" s="332"/>
      <c r="B1259" s="333"/>
      <c r="C1259" s="66"/>
      <c r="D1259" s="66"/>
      <c r="E1259" s="67">
        <f>SUM(E1261:E1261)</f>
        <v>1</v>
      </c>
      <c r="G1259" s="98"/>
      <c r="H1259" s="98"/>
      <c r="I1259" s="98"/>
      <c r="J1259" s="98"/>
      <c r="K1259" s="98"/>
      <c r="L1259" s="98"/>
      <c r="M1259" s="98"/>
      <c r="N1259" s="98"/>
      <c r="O1259" s="98"/>
    </row>
    <row r="1260" spans="1:18" ht="15" customHeight="1">
      <c r="A1260" s="321" t="s">
        <v>5</v>
      </c>
      <c r="B1260" s="321"/>
      <c r="C1260" s="64" t="s">
        <v>17</v>
      </c>
      <c r="D1260" s="65" t="s">
        <v>18</v>
      </c>
      <c r="E1260" s="64" t="s">
        <v>7</v>
      </c>
      <c r="G1260" s="166" t="str">
        <f>CONCATENATE("Misc. Healthy parts/ Non Ferrous  Scrap, Lying at ",C1261,". Quantity in MT - ")</f>
        <v>Misc. Healthy parts/ Non Ferrous  Scrap, Lying at TRY Bathinda. Quantity in MT - </v>
      </c>
      <c r="H1260" s="324" t="str">
        <f ca="1">CONCATENATE(G1260,G1261,(INDIRECT(I1261)),(INDIRECT(J1261)),(INDIRECT(K1261)),(INDIRECT(L1261)),(INDIRECT(M1261)),(INDIRECT(N1261)),(INDIRECT(O1261)),(INDIRECT(P1261)),(INDIRECT(Q1261)),(INDIRECT(R1261)),".")</f>
        <v>Misc. Healthy parts/ Non Ferrous  Scrap, Lying at TRY Bathinda. Quantity in MT - Brass scrap - 1, .</v>
      </c>
      <c r="I1260" s="98" t="str">
        <f aca="true" ca="1" t="array" ref="I1260">CELL("address",INDEX(G1260:G1281,MATCH(TRUE,ISBLANK(G1260:G1281),0)))</f>
        <v>$G$1262</v>
      </c>
      <c r="J1260" s="98">
        <f aca="true" t="array" ref="J1260">MATCH(TRUE,ISBLANK(G1260:G1281),0)</f>
        <v>3</v>
      </c>
      <c r="K1260" s="98">
        <f>J1260-3</f>
        <v>0</v>
      </c>
      <c r="L1260" s="98"/>
      <c r="M1260" s="98"/>
      <c r="N1260" s="98"/>
      <c r="O1260" s="98"/>
      <c r="P1260" s="98"/>
      <c r="Q1260" s="98"/>
      <c r="R1260" s="98"/>
    </row>
    <row r="1261" spans="1:18" ht="15" customHeight="1">
      <c r="A1261" s="321" t="s">
        <v>141</v>
      </c>
      <c r="B1261" s="321"/>
      <c r="C1261" s="296" t="s">
        <v>36</v>
      </c>
      <c r="D1261" s="40" t="s">
        <v>23</v>
      </c>
      <c r="E1261" s="46">
        <v>1</v>
      </c>
      <c r="F1261" s="98"/>
      <c r="G1261" s="101" t="str">
        <f>CONCATENATE(D1261," - ",E1261,", ")</f>
        <v>Brass scrap - 1, </v>
      </c>
      <c r="H1261" s="324"/>
      <c r="I1261" s="98" t="str">
        <f ca="1">IF(J1260&gt;=3,(MID(I1260,2,1)&amp;MID(I1260,4,4)-K1260),CELL("address",Z1261))</f>
        <v>G1262</v>
      </c>
      <c r="J1261" s="98" t="str">
        <f ca="1">IF(J1260&gt;=4,(MID(I1261,1,1)&amp;MID(I1261,2,4)+1),CELL("address",AA1261))</f>
        <v>$AA$1261</v>
      </c>
      <c r="K1261" s="98" t="str">
        <f ca="1">IF(J1260&gt;=5,(MID(J1261,1,1)&amp;MID(J1261,2,4)+1),CELL("address",AB1261))</f>
        <v>$AB$1261</v>
      </c>
      <c r="L1261" s="98" t="str">
        <f ca="1">IF(J1260&gt;=6,(MID(K1261,1,1)&amp;MID(K1261,2,4)+1),CELL("address",AC1261))</f>
        <v>$AC$1261</v>
      </c>
      <c r="M1261" s="98" t="str">
        <f ca="1">IF(J1260&gt;=7,(MID(L1261,1,1)&amp;MID(L1261,2,4)+1),CELL("address",AD1261))</f>
        <v>$AD$1261</v>
      </c>
      <c r="N1261" s="98" t="str">
        <f ca="1">IF(J1260&gt;=8,(MID(M1261,1,1)&amp;MID(M1261,2,4)+1),CELL("address",AE1261))</f>
        <v>$AE$1261</v>
      </c>
      <c r="O1261" s="98" t="str">
        <f ca="1">IF(J1260&gt;=9,(MID(N1261,1,1)&amp;MID(N1261,2,4)+1),CELL("address",AF1261))</f>
        <v>$AF$1261</v>
      </c>
      <c r="P1261" s="98" t="str">
        <f ca="1">IF(J1260&gt;=10,(MID(O1261,1,1)&amp;MID(O1261,2,4)+1),CELL("address",AG1261))</f>
        <v>$AG$1261</v>
      </c>
      <c r="Q1261" s="98" t="str">
        <f ca="1">IF(J1260&gt;=11,(MID(P1261,1,1)&amp;MID(P1261,2,4)+1),CELL("address",AH1261))</f>
        <v>$AH$1261</v>
      </c>
      <c r="R1261" s="98" t="str">
        <f ca="1">IF(J1260&gt;=12,(MID(Q1261,1,1)&amp;MID(Q1261,2,4)+1),CELL("address",AI1261))</f>
        <v>$AI$1261</v>
      </c>
    </row>
    <row r="1262" spans="1:15" ht="15" customHeight="1">
      <c r="A1262" s="341"/>
      <c r="B1262" s="342"/>
      <c r="C1262" s="92"/>
      <c r="D1262" s="92"/>
      <c r="E1262" s="92"/>
      <c r="F1262" s="98"/>
      <c r="G1262" s="98"/>
      <c r="H1262" s="98"/>
      <c r="I1262" s="98"/>
      <c r="J1262" s="98"/>
      <c r="K1262" s="98"/>
      <c r="L1262" s="98"/>
      <c r="M1262" s="98"/>
      <c r="N1262" s="98"/>
      <c r="O1262" s="98"/>
    </row>
    <row r="1263" spans="1:15" ht="15" customHeight="1">
      <c r="A1263" s="332"/>
      <c r="B1263" s="333"/>
      <c r="C1263" s="66"/>
      <c r="D1263" s="66"/>
      <c r="E1263" s="67">
        <f>SUM(E1265:E1265)</f>
        <v>1</v>
      </c>
      <c r="G1263" s="98"/>
      <c r="H1263" s="98"/>
      <c r="I1263" s="98"/>
      <c r="J1263" s="98"/>
      <c r="K1263" s="98"/>
      <c r="L1263" s="98"/>
      <c r="M1263" s="98"/>
      <c r="N1263" s="98"/>
      <c r="O1263" s="98"/>
    </row>
    <row r="1264" spans="1:18" ht="15" customHeight="1">
      <c r="A1264" s="321" t="s">
        <v>5</v>
      </c>
      <c r="B1264" s="321"/>
      <c r="C1264" s="64" t="s">
        <v>17</v>
      </c>
      <c r="D1264" s="65" t="s">
        <v>18</v>
      </c>
      <c r="E1264" s="64" t="s">
        <v>7</v>
      </c>
      <c r="G1264" s="166" t="str">
        <f>CONCATENATE("Misc. Healthy parts/ Non Ferrous  Scrap, Lying at ",C1265,". Quantity in MT - ")</f>
        <v>Misc. Healthy parts/ Non Ferrous  Scrap, Lying at TRY Bathinda. Quantity in MT - </v>
      </c>
      <c r="H1264" s="324" t="str">
        <f ca="1">CONCATENATE(G1264,G1265,(INDIRECT(I1265)),(INDIRECT(J1265)),(INDIRECT(K1265)),(INDIRECT(L1265)),(INDIRECT(M1265)),(INDIRECT(N1265)),(INDIRECT(O1265)),(INDIRECT(P1265)),(INDIRECT(Q1265)),(INDIRECT(R1265)),".")</f>
        <v>Misc. Healthy parts/ Non Ferrous  Scrap, Lying at TRY Bathinda. Quantity in MT - Brass scrap - 1, .</v>
      </c>
      <c r="I1264" s="98" t="str">
        <f aca="true" ca="1" t="array" ref="I1264">CELL("address",INDEX(G1264:G1285,MATCH(TRUE,ISBLANK(G1264:G1285),0)))</f>
        <v>$G$1266</v>
      </c>
      <c r="J1264" s="98">
        <f aca="true" t="array" ref="J1264">MATCH(TRUE,ISBLANK(G1264:G1285),0)</f>
        <v>3</v>
      </c>
      <c r="K1264" s="98">
        <f>J1264-3</f>
        <v>0</v>
      </c>
      <c r="L1264" s="98"/>
      <c r="M1264" s="98"/>
      <c r="N1264" s="98"/>
      <c r="O1264" s="98"/>
      <c r="P1264" s="98"/>
      <c r="Q1264" s="98"/>
      <c r="R1264" s="98"/>
    </row>
    <row r="1265" spans="1:18" ht="15" customHeight="1">
      <c r="A1265" s="321" t="s">
        <v>196</v>
      </c>
      <c r="B1265" s="321"/>
      <c r="C1265" s="296" t="s">
        <v>36</v>
      </c>
      <c r="D1265" s="40" t="s">
        <v>23</v>
      </c>
      <c r="E1265" s="46">
        <v>1</v>
      </c>
      <c r="F1265" s="98"/>
      <c r="G1265" s="101" t="str">
        <f>CONCATENATE(D1265," - ",E1265,", ")</f>
        <v>Brass scrap - 1, </v>
      </c>
      <c r="H1265" s="324"/>
      <c r="I1265" s="98" t="str">
        <f ca="1">IF(J1264&gt;=3,(MID(I1264,2,1)&amp;MID(I1264,4,4)-K1264),CELL("address",Z1265))</f>
        <v>G1266</v>
      </c>
      <c r="J1265" s="98" t="str">
        <f ca="1">IF(J1264&gt;=4,(MID(I1265,1,1)&amp;MID(I1265,2,4)+1),CELL("address",AA1265))</f>
        <v>$AA$1265</v>
      </c>
      <c r="K1265" s="98" t="str">
        <f ca="1">IF(J1264&gt;=5,(MID(J1265,1,1)&amp;MID(J1265,2,4)+1),CELL("address",AB1265))</f>
        <v>$AB$1265</v>
      </c>
      <c r="L1265" s="98" t="str">
        <f ca="1">IF(J1264&gt;=6,(MID(K1265,1,1)&amp;MID(K1265,2,4)+1),CELL("address",AC1265))</f>
        <v>$AC$1265</v>
      </c>
      <c r="M1265" s="98" t="str">
        <f ca="1">IF(J1264&gt;=7,(MID(L1265,1,1)&amp;MID(L1265,2,4)+1),CELL("address",AD1265))</f>
        <v>$AD$1265</v>
      </c>
      <c r="N1265" s="98" t="str">
        <f ca="1">IF(J1264&gt;=8,(MID(M1265,1,1)&amp;MID(M1265,2,4)+1),CELL("address",AE1265))</f>
        <v>$AE$1265</v>
      </c>
      <c r="O1265" s="98" t="str">
        <f ca="1">IF(J1264&gt;=9,(MID(N1265,1,1)&amp;MID(N1265,2,4)+1),CELL("address",AF1265))</f>
        <v>$AF$1265</v>
      </c>
      <c r="P1265" s="98" t="str">
        <f ca="1">IF(J1264&gt;=10,(MID(O1265,1,1)&amp;MID(O1265,2,4)+1),CELL("address",AG1265))</f>
        <v>$AG$1265</v>
      </c>
      <c r="Q1265" s="98" t="str">
        <f ca="1">IF(J1264&gt;=11,(MID(P1265,1,1)&amp;MID(P1265,2,4)+1),CELL("address",AH1265))</f>
        <v>$AH$1265</v>
      </c>
      <c r="R1265" s="98" t="str">
        <f ca="1">IF(J1264&gt;=12,(MID(Q1265,1,1)&amp;MID(Q1265,2,4)+1),CELL("address",AI1265))</f>
        <v>$AI$1265</v>
      </c>
    </row>
    <row r="1266" spans="1:15" ht="15" customHeight="1">
      <c r="A1266" s="341"/>
      <c r="B1266" s="342"/>
      <c r="C1266" s="92"/>
      <c r="D1266" s="92"/>
      <c r="E1266" s="92"/>
      <c r="G1266" s="98"/>
      <c r="H1266" s="98"/>
      <c r="I1266" s="98"/>
      <c r="J1266" s="98"/>
      <c r="K1266" s="98"/>
      <c r="L1266" s="98"/>
      <c r="M1266" s="98"/>
      <c r="N1266" s="98"/>
      <c r="O1266" s="98"/>
    </row>
    <row r="1267" spans="1:8" ht="15" customHeight="1">
      <c r="A1267" s="332"/>
      <c r="B1267" s="333"/>
      <c r="C1267" s="66"/>
      <c r="D1267" s="66"/>
      <c r="E1267" s="67">
        <f>SUM(E1269:E1273)</f>
        <v>4.087999999999999</v>
      </c>
      <c r="F1267" s="98"/>
      <c r="H1267" s="1"/>
    </row>
    <row r="1268" spans="1:18" ht="15" customHeight="1">
      <c r="A1268" s="321" t="s">
        <v>5</v>
      </c>
      <c r="B1268" s="321"/>
      <c r="C1268" s="64" t="s">
        <v>17</v>
      </c>
      <c r="D1268" s="65" t="s">
        <v>18</v>
      </c>
      <c r="E1268" s="64" t="s">
        <v>7</v>
      </c>
      <c r="F1268" s="98"/>
      <c r="G1268" s="166" t="str">
        <f>CONCATENATE("Misc. Healthy parts/ Non Ferrous  Scrap, Lying at ",C1269,". Quantity in MT - ")</f>
        <v>Misc. Healthy parts/ Non Ferrous  Scrap, Lying at TRY Kotkapura. Quantity in MT - </v>
      </c>
      <c r="H1268" s="324" t="str">
        <f ca="1">CONCATENATE(G1268,G1269,(INDIRECT(I1269)),(INDIRECT(J1269)),(INDIRECT(K1269)),(INDIRECT(L1269)),(INDIRECT(M1269)),(INDIRECT(N1269)),(INDIRECT(O1269)),(INDIRECT(P1269)),(INDIRECT(Q1269)),(INDIRECT(R1269)),".")</f>
        <v>Misc. Healthy parts/ Non Ferrous  Scrap, Lying at TRY Kotkapura. Quantity in MT - Brass scrap - 2.336, Misc. Alumn. Scrap - 0.36, Iron scrap - 0.141, Burnt Cu scrap - 0.057, Nuts &amp; Bolts scrap - 1.194, .</v>
      </c>
      <c r="I1268" s="98" t="str">
        <f aca="true" ca="1" t="array" ref="I1268">CELL("address",INDEX(G1268:G1289,MATCH(TRUE,ISBLANK(G1268:G1289),0)))</f>
        <v>$G$1274</v>
      </c>
      <c r="J1268" s="98">
        <f aca="true" t="array" ref="J1268">MATCH(TRUE,ISBLANK(G1268:G1289),0)</f>
        <v>7</v>
      </c>
      <c r="K1268" s="98">
        <f>J1268-3</f>
        <v>4</v>
      </c>
      <c r="L1268" s="98"/>
      <c r="M1268" s="98"/>
      <c r="N1268" s="98"/>
      <c r="O1268" s="98"/>
      <c r="P1268" s="98"/>
      <c r="Q1268" s="98"/>
      <c r="R1268" s="98"/>
    </row>
    <row r="1269" spans="1:18" ht="15" customHeight="1">
      <c r="A1269" s="321" t="s">
        <v>203</v>
      </c>
      <c r="B1269" s="321"/>
      <c r="C1269" s="330" t="s">
        <v>246</v>
      </c>
      <c r="D1269" s="45" t="s">
        <v>23</v>
      </c>
      <c r="E1269" s="47">
        <v>2.336</v>
      </c>
      <c r="G1269" s="101" t="str">
        <f>CONCATENATE(D1269," - ",E1269,", ")</f>
        <v>Brass scrap - 2.336, </v>
      </c>
      <c r="H1269" s="324"/>
      <c r="I1269" s="98" t="str">
        <f ca="1">IF(J1268&gt;=3,(MID(I1268,2,1)&amp;MID(I1268,4,4)-K1268),CELL("address",Z1269))</f>
        <v>G1270</v>
      </c>
      <c r="J1269" s="98" t="str">
        <f ca="1">IF(J1268&gt;=4,(MID(I1269,1,1)&amp;MID(I1269,2,4)+1),CELL("address",AA1269))</f>
        <v>G1271</v>
      </c>
      <c r="K1269" s="98" t="str">
        <f ca="1">IF(J1268&gt;=5,(MID(J1269,1,1)&amp;MID(J1269,2,4)+1),CELL("address",AB1269))</f>
        <v>G1272</v>
      </c>
      <c r="L1269" s="98" t="str">
        <f ca="1">IF(J1268&gt;=6,(MID(K1269,1,1)&amp;MID(K1269,2,4)+1),CELL("address",AC1269))</f>
        <v>G1273</v>
      </c>
      <c r="M1269" s="98" t="str">
        <f ca="1">IF(J1268&gt;=7,(MID(L1269,1,1)&amp;MID(L1269,2,4)+1),CELL("address",AD1269))</f>
        <v>G1274</v>
      </c>
      <c r="N1269" s="98" t="str">
        <f ca="1">IF(J1268&gt;=8,(MID(M1269,1,1)&amp;MID(M1269,2,4)+1),CELL("address",AE1269))</f>
        <v>$AE$1269</v>
      </c>
      <c r="O1269" s="98" t="str">
        <f ca="1">IF(J1268&gt;=9,(MID(N1269,1,1)&amp;MID(N1269,2,4)+1),CELL("address",AF1269))</f>
        <v>$AF$1269</v>
      </c>
      <c r="P1269" s="98" t="str">
        <f ca="1">IF(J1268&gt;=10,(MID(O1269,1,1)&amp;MID(O1269,2,4)+1),CELL("address",AG1269))</f>
        <v>$AG$1269</v>
      </c>
      <c r="Q1269" s="98" t="str">
        <f ca="1">IF(J1268&gt;=11,(MID(P1269,1,1)&amp;MID(P1269,2,4)+1),CELL("address",AH1269))</f>
        <v>$AH$1269</v>
      </c>
      <c r="R1269" s="98" t="str">
        <f ca="1">IF(J1268&gt;=12,(MID(Q1269,1,1)&amp;MID(Q1269,2,4)+1),CELL("address",AI1269))</f>
        <v>$AI$1269</v>
      </c>
    </row>
    <row r="1270" spans="1:15" ht="15" customHeight="1">
      <c r="A1270" s="321"/>
      <c r="B1270" s="321"/>
      <c r="C1270" s="330"/>
      <c r="D1270" s="45" t="s">
        <v>31</v>
      </c>
      <c r="E1270" s="64">
        <v>0.36</v>
      </c>
      <c r="G1270" s="101" t="str">
        <f>CONCATENATE(D1270," - ",E1270,", ")</f>
        <v>Misc. Alumn. Scrap - 0.36, </v>
      </c>
      <c r="H1270" s="1"/>
      <c r="I1270" s="98"/>
      <c r="J1270" s="98"/>
      <c r="K1270" s="98"/>
      <c r="L1270" s="98"/>
      <c r="M1270" s="98"/>
      <c r="N1270" s="98"/>
      <c r="O1270" s="98"/>
    </row>
    <row r="1271" spans="1:8" ht="15" customHeight="1">
      <c r="A1271" s="321"/>
      <c r="B1271" s="321"/>
      <c r="C1271" s="330"/>
      <c r="D1271" s="40" t="s">
        <v>27</v>
      </c>
      <c r="E1271" s="64">
        <v>0.141</v>
      </c>
      <c r="G1271" s="101" t="str">
        <f>CONCATENATE(D1271," - ",E1271,", ")</f>
        <v>Iron scrap - 0.141, </v>
      </c>
      <c r="H1271" s="1"/>
    </row>
    <row r="1272" spans="1:8" ht="15" customHeight="1">
      <c r="A1272" s="321"/>
      <c r="B1272" s="321"/>
      <c r="C1272" s="330"/>
      <c r="D1272" s="40" t="s">
        <v>37</v>
      </c>
      <c r="E1272" s="64">
        <v>0.057</v>
      </c>
      <c r="G1272" s="101" t="str">
        <f>CONCATENATE(D1272," - ",E1272,", ")</f>
        <v>Burnt Cu scrap - 0.057, </v>
      </c>
      <c r="H1272" s="1"/>
    </row>
    <row r="1273" spans="1:8" ht="15" customHeight="1">
      <c r="A1273" s="321"/>
      <c r="B1273" s="321"/>
      <c r="C1273" s="330"/>
      <c r="D1273" s="40" t="s">
        <v>58</v>
      </c>
      <c r="E1273" s="64">
        <v>1.194</v>
      </c>
      <c r="G1273" s="101" t="str">
        <f>CONCATENATE(D1273," - ",E1273,", ")</f>
        <v>Nuts &amp; Bolts scrap - 1.194, </v>
      </c>
      <c r="H1273" s="1"/>
    </row>
    <row r="1274" spans="1:8" ht="15" customHeight="1">
      <c r="A1274" s="325"/>
      <c r="B1274" s="331"/>
      <c r="C1274" s="296"/>
      <c r="D1274" s="308"/>
      <c r="E1274" s="103"/>
      <c r="H1274" s="1"/>
    </row>
    <row r="1275" spans="1:8" ht="15" customHeight="1">
      <c r="A1275" s="332"/>
      <c r="B1275" s="333"/>
      <c r="C1275" s="66"/>
      <c r="D1275" s="66"/>
      <c r="E1275" s="67">
        <f>SUM(E1277:E1280)</f>
        <v>1.557</v>
      </c>
      <c r="H1275" s="1"/>
    </row>
    <row r="1276" spans="1:18" ht="15" customHeight="1">
      <c r="A1276" s="325" t="s">
        <v>5</v>
      </c>
      <c r="B1276" s="331"/>
      <c r="C1276" s="64" t="s">
        <v>17</v>
      </c>
      <c r="D1276" s="65" t="s">
        <v>18</v>
      </c>
      <c r="E1276" s="64" t="s">
        <v>7</v>
      </c>
      <c r="F1276" s="98"/>
      <c r="G1276" s="166" t="str">
        <f>CONCATENATE("Misc. Healthy parts/ Non Ferrous  Scrap, Lying at ",C1277,". Quantity in MT - ")</f>
        <v>Misc. Healthy parts/ Non Ferrous  Scrap, Lying at TRY Mansa. Quantity in MT - </v>
      </c>
      <c r="H1276" s="324" t="str">
        <f ca="1">CONCATENATE(G1276,G1277,(INDIRECT(I1277)),(INDIRECT(J1277)),(INDIRECT(K1277)),(INDIRECT(L1277)),(INDIRECT(M1277)),(INDIRECT(N1277)),(INDIRECT(O1277)),(INDIRECT(P1277)),(INDIRECT(Q1277)),(INDIRECT(R1277)),".")</f>
        <v>Misc. Healthy parts/ Non Ferrous  Scrap, Lying at TRY Mansa. Quantity in MT - Brass scrap - 1.302, Misc. Aluminium scrap - 0.147, Burnt Cu scrap - 0.027,  Iron scrap - 0.081, .</v>
      </c>
      <c r="I1276" s="98" t="str">
        <f aca="true" ca="1" t="array" ref="I1276">CELL("address",INDEX(G1276:G1297,MATCH(TRUE,ISBLANK(G1276:G1297),0)))</f>
        <v>$G$1281</v>
      </c>
      <c r="J1276" s="98">
        <f aca="true" t="array" ref="J1276">MATCH(TRUE,ISBLANK(G1276:G1297),0)</f>
        <v>6</v>
      </c>
      <c r="K1276" s="98">
        <f>J1276-3</f>
        <v>3</v>
      </c>
      <c r="L1276" s="98"/>
      <c r="M1276" s="98"/>
      <c r="N1276" s="98"/>
      <c r="O1276" s="98"/>
      <c r="P1276" s="98"/>
      <c r="Q1276" s="98"/>
      <c r="R1276" s="98"/>
    </row>
    <row r="1277" spans="1:18" ht="15" customHeight="1">
      <c r="A1277" s="321" t="s">
        <v>210</v>
      </c>
      <c r="B1277" s="321"/>
      <c r="C1277" s="330" t="s">
        <v>166</v>
      </c>
      <c r="D1277" s="40" t="s">
        <v>23</v>
      </c>
      <c r="E1277" s="46">
        <v>1.302</v>
      </c>
      <c r="F1277" s="98"/>
      <c r="G1277" s="101" t="str">
        <f>CONCATENATE(D1277," - ",E1277,", ")</f>
        <v>Brass scrap - 1.302, </v>
      </c>
      <c r="H1277" s="324"/>
      <c r="I1277" s="98" t="str">
        <f ca="1">IF(J1276&gt;=3,(MID(I1276,2,1)&amp;MID(I1276,4,4)-K1276),CELL("address",Z1277))</f>
        <v>G1278</v>
      </c>
      <c r="J1277" s="98" t="str">
        <f ca="1">IF(J1276&gt;=4,(MID(I1277,1,1)&amp;MID(I1277,2,4)+1),CELL("address",AA1277))</f>
        <v>G1279</v>
      </c>
      <c r="K1277" s="98" t="str">
        <f ca="1">IF(J1276&gt;=5,(MID(J1277,1,1)&amp;MID(J1277,2,4)+1),CELL("address",AB1277))</f>
        <v>G1280</v>
      </c>
      <c r="L1277" s="98" t="str">
        <f ca="1">IF(J1276&gt;=6,(MID(K1277,1,1)&amp;MID(K1277,2,4)+1),CELL("address",AC1277))</f>
        <v>G1281</v>
      </c>
      <c r="M1277" s="98" t="str">
        <f ca="1">IF(J1276&gt;=7,(MID(L1277,1,1)&amp;MID(L1277,2,4)+1),CELL("address",AD1277))</f>
        <v>$AD$1277</v>
      </c>
      <c r="N1277" s="98" t="str">
        <f ca="1">IF(J1276&gt;=8,(MID(M1277,1,1)&amp;MID(M1277,2,4)+1),CELL("address",AE1277))</f>
        <v>$AE$1277</v>
      </c>
      <c r="O1277" s="98" t="str">
        <f ca="1">IF(J1276&gt;=9,(MID(N1277,1,1)&amp;MID(N1277,2,4)+1),CELL("address",AF1277))</f>
        <v>$AF$1277</v>
      </c>
      <c r="P1277" s="98" t="str">
        <f ca="1">IF(J1276&gt;=10,(MID(O1277,1,1)&amp;MID(O1277,2,4)+1),CELL("address",AG1277))</f>
        <v>$AG$1277</v>
      </c>
      <c r="Q1277" s="98" t="str">
        <f ca="1">IF(J1276&gt;=11,(MID(P1277,1,1)&amp;MID(P1277,2,4)+1),CELL("address",AH1277))</f>
        <v>$AH$1277</v>
      </c>
      <c r="R1277" s="98" t="str">
        <f ca="1">IF(J1276&gt;=12,(MID(Q1277,1,1)&amp;MID(Q1277,2,4)+1),CELL("address",AI1277))</f>
        <v>$AI$1277</v>
      </c>
    </row>
    <row r="1278" spans="1:15" ht="15" customHeight="1">
      <c r="A1278" s="321"/>
      <c r="B1278" s="321"/>
      <c r="C1278" s="330"/>
      <c r="D1278" s="40" t="s">
        <v>24</v>
      </c>
      <c r="E1278" s="46">
        <v>0.147</v>
      </c>
      <c r="G1278" s="101" t="str">
        <f>CONCATENATE(D1278," - ",E1278,", ")</f>
        <v>Misc. Aluminium scrap - 0.147, </v>
      </c>
      <c r="H1278" s="98"/>
      <c r="I1278" s="98"/>
      <c r="J1278" s="98"/>
      <c r="K1278" s="98"/>
      <c r="L1278" s="98"/>
      <c r="M1278" s="98"/>
      <c r="N1278" s="98"/>
      <c r="O1278" s="98"/>
    </row>
    <row r="1279" spans="1:8" ht="15" customHeight="1">
      <c r="A1279" s="321"/>
      <c r="B1279" s="321"/>
      <c r="C1279" s="330"/>
      <c r="D1279" s="40" t="s">
        <v>37</v>
      </c>
      <c r="E1279" s="46">
        <v>0.027</v>
      </c>
      <c r="G1279" s="101" t="str">
        <f>CONCATENATE(D1279," - ",E1279,", ")</f>
        <v>Burnt Cu scrap - 0.027, </v>
      </c>
      <c r="H1279" s="1"/>
    </row>
    <row r="1280" spans="1:8" ht="15" customHeight="1">
      <c r="A1280" s="321"/>
      <c r="B1280" s="321"/>
      <c r="C1280" s="330"/>
      <c r="D1280" s="45" t="s">
        <v>75</v>
      </c>
      <c r="E1280" s="46">
        <v>0.081</v>
      </c>
      <c r="G1280" s="101" t="str">
        <f>CONCATENATE(D1280," - ",E1280,", ")</f>
        <v> Iron scrap - 0.081, </v>
      </c>
      <c r="H1280" s="1"/>
    </row>
    <row r="1281" spans="1:8" ht="15" customHeight="1">
      <c r="A1281" s="35"/>
      <c r="B1281" s="1"/>
      <c r="C1281" s="1"/>
      <c r="D1281" s="1"/>
      <c r="E1281" s="1"/>
      <c r="H1281" s="1"/>
    </row>
    <row r="1282" spans="1:8" ht="15" customHeight="1">
      <c r="A1282" s="332"/>
      <c r="B1282" s="333"/>
      <c r="C1282" s="66"/>
      <c r="D1282" s="66"/>
      <c r="E1282" s="67">
        <f>SUM(E1284:E1288)</f>
        <v>2.086</v>
      </c>
      <c r="H1282" s="1"/>
    </row>
    <row r="1283" spans="1:18" ht="15" customHeight="1">
      <c r="A1283" s="325" t="s">
        <v>5</v>
      </c>
      <c r="B1283" s="331"/>
      <c r="C1283" s="64" t="s">
        <v>17</v>
      </c>
      <c r="D1283" s="65" t="s">
        <v>18</v>
      </c>
      <c r="E1283" s="64" t="s">
        <v>7</v>
      </c>
      <c r="G1283" s="166" t="str">
        <f>CONCATENATE("Misc. Healthy parts/ Non Ferrous  Scrap, Lying at ",C1284,". Quantity in MT - ")</f>
        <v>Misc. Healthy parts/ Non Ferrous  Scrap, Lying at TRY Bhagta Bhai Ka. Quantity in MT - </v>
      </c>
      <c r="H1283" s="324" t="str">
        <f ca="1">CONCATENATE(G1283,G1284,(INDIRECT(I1284)),(INDIRECT(J1284)),(INDIRECT(K1284)),(INDIRECT(L1284)),(INDIRECT(M1284)),(INDIRECT(N1284)),(INDIRECT(O1284)),(INDIRECT(P1284)),(INDIRECT(Q1284)),(INDIRECT(R1284)),".")</f>
        <v>Misc. Healthy parts/ Non Ferrous  Scrap, Lying at TRY Bhagta Bhai Ka. Quantity in MT - Brass scrap - 1.22, Misc. Aluminium scrap - 0.151, Burnt Cu scrap - 0.037,  Iron scrap - 0.088, Nuts &amp; Bolts scrap - 0.59, .</v>
      </c>
      <c r="I1283" s="98" t="str">
        <f aca="true" ca="1" t="array" ref="I1283">CELL("address",INDEX(G1283:G1304,MATCH(TRUE,ISBLANK(G1283:G1304),0)))</f>
        <v>$G$1289</v>
      </c>
      <c r="J1283" s="98">
        <f aca="true" t="array" ref="J1283">MATCH(TRUE,ISBLANK(G1283:G1304),0)</f>
        <v>7</v>
      </c>
      <c r="K1283" s="98">
        <f>J1283-3</f>
        <v>4</v>
      </c>
      <c r="L1283" s="98"/>
      <c r="M1283" s="98"/>
      <c r="N1283" s="98"/>
      <c r="O1283" s="98"/>
      <c r="P1283" s="98"/>
      <c r="Q1283" s="98"/>
      <c r="R1283" s="98"/>
    </row>
    <row r="1284" spans="1:18" ht="15" customHeight="1">
      <c r="A1284" s="322" t="s">
        <v>234</v>
      </c>
      <c r="B1284" s="323"/>
      <c r="C1284" s="394" t="s">
        <v>132</v>
      </c>
      <c r="D1284" s="40" t="s">
        <v>23</v>
      </c>
      <c r="E1284" s="46">
        <v>1.22</v>
      </c>
      <c r="F1284" s="98"/>
      <c r="G1284" s="101" t="str">
        <f>CONCATENATE(D1284," - ",E1284,", ")</f>
        <v>Brass scrap - 1.22, </v>
      </c>
      <c r="H1284" s="324"/>
      <c r="I1284" s="98" t="str">
        <f ca="1">IF(J1283&gt;=3,(MID(I1283,2,1)&amp;MID(I1283,4,4)-K1283),CELL("address",Z1284))</f>
        <v>G1285</v>
      </c>
      <c r="J1284" s="98" t="str">
        <f ca="1">IF(J1283&gt;=4,(MID(I1284,1,1)&amp;MID(I1284,2,4)+1),CELL("address",AA1284))</f>
        <v>G1286</v>
      </c>
      <c r="K1284" s="98" t="str">
        <f ca="1">IF(J1283&gt;=5,(MID(J1284,1,1)&amp;MID(J1284,2,4)+1),CELL("address",AB1284))</f>
        <v>G1287</v>
      </c>
      <c r="L1284" s="98" t="str">
        <f ca="1">IF(J1283&gt;=6,(MID(K1284,1,1)&amp;MID(K1284,2,4)+1),CELL("address",AC1284))</f>
        <v>G1288</v>
      </c>
      <c r="M1284" s="98" t="str">
        <f ca="1">IF(J1283&gt;=7,(MID(L1284,1,1)&amp;MID(L1284,2,4)+1),CELL("address",AD1284))</f>
        <v>G1289</v>
      </c>
      <c r="N1284" s="98" t="str">
        <f ca="1">IF(J1283&gt;=8,(MID(M1284,1,1)&amp;MID(M1284,2,4)+1),CELL("address",AE1284))</f>
        <v>$AE$1284</v>
      </c>
      <c r="O1284" s="98" t="str">
        <f ca="1">IF(J1283&gt;=9,(MID(N1284,1,1)&amp;MID(N1284,2,4)+1),CELL("address",AF1284))</f>
        <v>$AF$1284</v>
      </c>
      <c r="P1284" s="98" t="str">
        <f ca="1">IF(J1283&gt;=10,(MID(O1284,1,1)&amp;MID(O1284,2,4)+1),CELL("address",AG1284))</f>
        <v>$AG$1284</v>
      </c>
      <c r="Q1284" s="98" t="str">
        <f ca="1">IF(J1283&gt;=11,(MID(P1284,1,1)&amp;MID(P1284,2,4)+1),CELL("address",AH1284))</f>
        <v>$AH$1284</v>
      </c>
      <c r="R1284" s="98" t="str">
        <f ca="1">IF(J1283&gt;=12,(MID(Q1284,1,1)&amp;MID(Q1284,2,4)+1),CELL("address",AI1284))</f>
        <v>$AI$1284</v>
      </c>
    </row>
    <row r="1285" spans="1:15" ht="15" customHeight="1">
      <c r="A1285" s="343"/>
      <c r="B1285" s="344"/>
      <c r="C1285" s="395"/>
      <c r="D1285" s="40" t="s">
        <v>24</v>
      </c>
      <c r="E1285" s="46">
        <v>0.151</v>
      </c>
      <c r="F1285" s="98"/>
      <c r="G1285" s="101" t="str">
        <f>CONCATENATE(D1285," - ",E1285,", ")</f>
        <v>Misc. Aluminium scrap - 0.151, </v>
      </c>
      <c r="H1285" s="98"/>
      <c r="I1285" s="98"/>
      <c r="J1285" s="98"/>
      <c r="K1285" s="98"/>
      <c r="L1285" s="98"/>
      <c r="M1285" s="98"/>
      <c r="N1285" s="98"/>
      <c r="O1285" s="98"/>
    </row>
    <row r="1286" spans="1:15" ht="15" customHeight="1">
      <c r="A1286" s="343"/>
      <c r="B1286" s="344"/>
      <c r="C1286" s="395"/>
      <c r="D1286" s="40" t="s">
        <v>37</v>
      </c>
      <c r="E1286" s="46">
        <v>0.037</v>
      </c>
      <c r="G1286" s="101" t="str">
        <f>CONCATENATE(D1286," - ",E1286,", ")</f>
        <v>Burnt Cu scrap - 0.037, </v>
      </c>
      <c r="H1286" s="98"/>
      <c r="I1286" s="98"/>
      <c r="J1286" s="98"/>
      <c r="K1286" s="98"/>
      <c r="L1286" s="98"/>
      <c r="M1286" s="98"/>
      <c r="N1286" s="98"/>
      <c r="O1286" s="98"/>
    </row>
    <row r="1287" spans="1:8" ht="15" customHeight="1">
      <c r="A1287" s="343"/>
      <c r="B1287" s="344"/>
      <c r="C1287" s="395"/>
      <c r="D1287" s="45" t="s">
        <v>75</v>
      </c>
      <c r="E1287" s="46">
        <v>0.088</v>
      </c>
      <c r="G1287" s="101" t="str">
        <f>CONCATENATE(D1287," - ",E1287,", ")</f>
        <v> Iron scrap - 0.088, </v>
      </c>
      <c r="H1287" s="1"/>
    </row>
    <row r="1288" spans="1:8" ht="15" customHeight="1">
      <c r="A1288" s="345"/>
      <c r="B1288" s="346"/>
      <c r="C1288" s="396"/>
      <c r="D1288" s="40" t="s">
        <v>58</v>
      </c>
      <c r="E1288" s="46">
        <v>0.59</v>
      </c>
      <c r="F1288" s="98"/>
      <c r="G1288" s="101" t="str">
        <f>CONCATENATE(D1288," - ",E1288,", ")</f>
        <v>Nuts &amp; Bolts scrap - 0.59, </v>
      </c>
      <c r="H1288" s="1"/>
    </row>
    <row r="1289" spans="1:15" ht="15" customHeight="1">
      <c r="A1289" s="51"/>
      <c r="B1289" s="54"/>
      <c r="C1289" s="19"/>
      <c r="D1289" s="54"/>
      <c r="E1289" s="96"/>
      <c r="F1289" s="98"/>
      <c r="G1289" s="98"/>
      <c r="H1289" s="98"/>
      <c r="I1289" s="98"/>
      <c r="J1289" s="98"/>
      <c r="K1289" s="98"/>
      <c r="L1289" s="98"/>
      <c r="M1289" s="98"/>
      <c r="N1289" s="98"/>
      <c r="O1289" s="98"/>
    </row>
    <row r="1290" spans="1:15" ht="15" customHeight="1">
      <c r="A1290" s="332"/>
      <c r="B1290" s="333"/>
      <c r="C1290" s="66"/>
      <c r="D1290" s="66"/>
      <c r="E1290" s="118">
        <f>SUM(E1292:E1292)</f>
        <v>0.029</v>
      </c>
      <c r="G1290" s="98"/>
      <c r="H1290" s="98"/>
      <c r="I1290" s="98"/>
      <c r="J1290" s="98"/>
      <c r="K1290" s="98"/>
      <c r="L1290" s="98"/>
      <c r="M1290" s="98"/>
      <c r="N1290" s="98"/>
      <c r="O1290" s="98"/>
    </row>
    <row r="1291" spans="1:18" ht="15" customHeight="1">
      <c r="A1291" s="321" t="s">
        <v>5</v>
      </c>
      <c r="B1291" s="321"/>
      <c r="C1291" s="64" t="s">
        <v>17</v>
      </c>
      <c r="D1291" s="65" t="s">
        <v>18</v>
      </c>
      <c r="E1291" s="68" t="s">
        <v>7</v>
      </c>
      <c r="G1291" s="166" t="str">
        <f>CONCATENATE("Misc. Healthy parts/ Non Ferrous  Scrap, Lying at ",C1292,". Quantity in MT - ")</f>
        <v>Misc. Healthy parts/ Non Ferrous  Scrap, Lying at OL Barnala. Quantity in MT - </v>
      </c>
      <c r="H1291" s="324" t="str">
        <f ca="1">CONCATENATE(G1291,G1292,(INDIRECT(I1292)),(INDIRECT(J1292)),(INDIRECT(K1292)),(INDIRECT(L1292)),(INDIRECT(M1292)),(INDIRECT(N1292)),(INDIRECT(O1292)),(INDIRECT(P1292)),(INDIRECT(Q1292)),(INDIRECT(R1292)),".")</f>
        <v>Misc. Healthy parts/ Non Ferrous  Scrap, Lying at OL Barnala. Quantity in MT - Misc. copper scrap - 0.029, .</v>
      </c>
      <c r="I1291" s="98" t="str">
        <f aca="true" ca="1" t="array" ref="I1291">CELL("address",INDEX(G1291:G1312,MATCH(TRUE,ISBLANK(G1291:G1312),0)))</f>
        <v>$G$1293</v>
      </c>
      <c r="J1291" s="98">
        <f aca="true" t="array" ref="J1291">MATCH(TRUE,ISBLANK(G1291:G1312),0)</f>
        <v>3</v>
      </c>
      <c r="K1291" s="98">
        <f>J1291-3</f>
        <v>0</v>
      </c>
      <c r="L1291" s="98"/>
      <c r="M1291" s="98"/>
      <c r="N1291" s="98"/>
      <c r="O1291" s="98"/>
      <c r="P1291" s="98"/>
      <c r="Q1291" s="98"/>
      <c r="R1291" s="98"/>
    </row>
    <row r="1292" spans="1:18" ht="15" customHeight="1">
      <c r="A1292" s="321" t="s">
        <v>194</v>
      </c>
      <c r="B1292" s="321"/>
      <c r="C1292" s="296" t="s">
        <v>190</v>
      </c>
      <c r="D1292" s="60" t="s">
        <v>111</v>
      </c>
      <c r="E1292" s="69">
        <v>0.029</v>
      </c>
      <c r="G1292" s="101" t="str">
        <f>CONCATENATE(D1292," - ",E1292,", ")</f>
        <v>Misc. copper scrap - 0.029, </v>
      </c>
      <c r="H1292" s="324"/>
      <c r="I1292" s="98" t="str">
        <f ca="1">IF(J1291&gt;=3,(MID(I1291,2,1)&amp;MID(I1291,4,4)-K1291),CELL("address",Z1292))</f>
        <v>G1293</v>
      </c>
      <c r="J1292" s="98" t="str">
        <f ca="1">IF(J1291&gt;=4,(MID(I1292,1,1)&amp;MID(I1292,2,4)+1),CELL("address",AA1292))</f>
        <v>$AA$1292</v>
      </c>
      <c r="K1292" s="98" t="str">
        <f ca="1">IF(J1291&gt;=5,(MID(J1292,1,1)&amp;MID(J1292,2,4)+1),CELL("address",AB1292))</f>
        <v>$AB$1292</v>
      </c>
      <c r="L1292" s="98" t="str">
        <f ca="1">IF(J1291&gt;=6,(MID(K1292,1,1)&amp;MID(K1292,2,4)+1),CELL("address",AC1292))</f>
        <v>$AC$1292</v>
      </c>
      <c r="M1292" s="98" t="str">
        <f ca="1">IF(J1291&gt;=7,(MID(L1292,1,1)&amp;MID(L1292,2,4)+1),CELL("address",AD1292))</f>
        <v>$AD$1292</v>
      </c>
      <c r="N1292" s="98" t="str">
        <f ca="1">IF(J1291&gt;=8,(MID(M1292,1,1)&amp;MID(M1292,2,4)+1),CELL("address",AE1292))</f>
        <v>$AE$1292</v>
      </c>
      <c r="O1292" s="98" t="str">
        <f ca="1">IF(J1291&gt;=9,(MID(N1292,1,1)&amp;MID(N1292,2,4)+1),CELL("address",AF1292))</f>
        <v>$AF$1292</v>
      </c>
      <c r="P1292" s="98" t="str">
        <f ca="1">IF(J1291&gt;=10,(MID(O1292,1,1)&amp;MID(O1292,2,4)+1),CELL("address",AG1292))</f>
        <v>$AG$1292</v>
      </c>
      <c r="Q1292" s="98" t="str">
        <f ca="1">IF(J1291&gt;=11,(MID(P1292,1,1)&amp;MID(P1292,2,4)+1),CELL("address",AH1292))</f>
        <v>$AH$1292</v>
      </c>
      <c r="R1292" s="98" t="str">
        <f ca="1">IF(J1291&gt;=12,(MID(Q1292,1,1)&amp;MID(Q1292,2,4)+1),CELL("address",AI1292))</f>
        <v>$AI$1292</v>
      </c>
    </row>
    <row r="1293" spans="1:15" ht="15" customHeight="1">
      <c r="A1293" s="35"/>
      <c r="B1293" s="1"/>
      <c r="C1293" s="1"/>
      <c r="D1293" s="1"/>
      <c r="E1293" s="1"/>
      <c r="H1293" s="1"/>
      <c r="I1293" s="98"/>
      <c r="J1293" s="98"/>
      <c r="K1293" s="98"/>
      <c r="L1293" s="98"/>
      <c r="M1293" s="98"/>
      <c r="N1293" s="98"/>
      <c r="O1293" s="98"/>
    </row>
    <row r="1294" spans="1:8" ht="15" customHeight="1">
      <c r="A1294" s="332"/>
      <c r="B1294" s="333"/>
      <c r="C1294" s="66"/>
      <c r="D1294" s="66"/>
      <c r="E1294" s="118">
        <f>SUM(E1296:E1300)</f>
        <v>3.0719999999999996</v>
      </c>
      <c r="F1294" s="98"/>
      <c r="H1294" s="1"/>
    </row>
    <row r="1295" spans="1:18" ht="15" customHeight="1">
      <c r="A1295" s="321" t="s">
        <v>5</v>
      </c>
      <c r="B1295" s="321"/>
      <c r="C1295" s="64" t="s">
        <v>17</v>
      </c>
      <c r="D1295" s="65" t="s">
        <v>18</v>
      </c>
      <c r="E1295" s="68" t="s">
        <v>7</v>
      </c>
      <c r="F1295" s="98"/>
      <c r="G1295" s="166" t="str">
        <f>CONCATENATE("Misc. Healthy parts/ Non Ferrous  Scrap, Lying at ",C1296,". Quantity in MT - ")</f>
        <v>Misc. Healthy parts/ Non Ferrous  Scrap, Lying at TRY Moga. Quantity in MT - </v>
      </c>
      <c r="H1295" s="324" t="str">
        <f ca="1">CONCATENATE(G1295,G1296,(INDIRECT(I1296)),(INDIRECT(J1296)),(INDIRECT(K1296)),(INDIRECT(L1296)),(INDIRECT(M1296)),(INDIRECT(N1296)),(INDIRECT(O1296)),(INDIRECT(P1296)),(INDIRECT(Q1296)),(INDIRECT(R1296)),".")</f>
        <v>Misc. Healthy parts/ Non Ferrous  Scrap, Lying at TRY Moga. Quantity in MT - Brass scrap - 1.769, Misc. Alumn. Scrap - 0.301, Iron scrap - 0.125, Burnt Cu scrap - 0.062, Nuts &amp; Bolts scrap - 0.815, .</v>
      </c>
      <c r="I1295" s="98" t="str">
        <f aca="true" ca="1" t="array" ref="I1295">CELL("address",INDEX(G1295:G1316,MATCH(TRUE,ISBLANK(G1295:G1316),0)))</f>
        <v>$G$1301</v>
      </c>
      <c r="J1295" s="98">
        <f aca="true" t="array" ref="J1295">MATCH(TRUE,ISBLANK(G1295:G1316),0)</f>
        <v>7</v>
      </c>
      <c r="K1295" s="98">
        <f>J1295-3</f>
        <v>4</v>
      </c>
      <c r="L1295" s="98"/>
      <c r="M1295" s="98"/>
      <c r="N1295" s="98"/>
      <c r="O1295" s="98"/>
      <c r="P1295" s="98"/>
      <c r="Q1295" s="98"/>
      <c r="R1295" s="98"/>
    </row>
    <row r="1296" spans="1:18" ht="15" customHeight="1">
      <c r="A1296" s="321" t="s">
        <v>195</v>
      </c>
      <c r="B1296" s="321"/>
      <c r="C1296" s="330" t="s">
        <v>222</v>
      </c>
      <c r="D1296" s="45" t="s">
        <v>23</v>
      </c>
      <c r="E1296" s="119">
        <v>1.769</v>
      </c>
      <c r="F1296" s="98"/>
      <c r="G1296" s="101" t="str">
        <f>CONCATENATE(D1296," - ",E1296,", ")</f>
        <v>Brass scrap - 1.769, </v>
      </c>
      <c r="H1296" s="324"/>
      <c r="I1296" s="98" t="str">
        <f ca="1">IF(J1295&gt;=3,(MID(I1295,2,1)&amp;MID(I1295,4,4)-K1295),CELL("address",Z1296))</f>
        <v>G1297</v>
      </c>
      <c r="J1296" s="98" t="str">
        <f ca="1">IF(J1295&gt;=4,(MID(I1296,1,1)&amp;MID(I1296,2,4)+1),CELL("address",AA1296))</f>
        <v>G1298</v>
      </c>
      <c r="K1296" s="98" t="str">
        <f ca="1">IF(J1295&gt;=5,(MID(J1296,1,1)&amp;MID(J1296,2,4)+1),CELL("address",AB1296))</f>
        <v>G1299</v>
      </c>
      <c r="L1296" s="98" t="str">
        <f ca="1">IF(J1295&gt;=6,(MID(K1296,1,1)&amp;MID(K1296,2,4)+1),CELL("address",AC1296))</f>
        <v>G1300</v>
      </c>
      <c r="M1296" s="98" t="str">
        <f ca="1">IF(J1295&gt;=7,(MID(L1296,1,1)&amp;MID(L1296,2,4)+1),CELL("address",AD1296))</f>
        <v>G1301</v>
      </c>
      <c r="N1296" s="98" t="str">
        <f ca="1">IF(J1295&gt;=8,(MID(M1296,1,1)&amp;MID(M1296,2,4)+1),CELL("address",AE1296))</f>
        <v>$AE$1296</v>
      </c>
      <c r="O1296" s="98" t="str">
        <f ca="1">IF(J1295&gt;=9,(MID(N1296,1,1)&amp;MID(N1296,2,4)+1),CELL("address",AF1296))</f>
        <v>$AF$1296</v>
      </c>
      <c r="P1296" s="98" t="str">
        <f ca="1">IF(J1295&gt;=10,(MID(O1296,1,1)&amp;MID(O1296,2,4)+1),CELL("address",AG1296))</f>
        <v>$AG$1296</v>
      </c>
      <c r="Q1296" s="98" t="str">
        <f ca="1">IF(J1295&gt;=11,(MID(P1296,1,1)&amp;MID(P1296,2,4)+1),CELL("address",AH1296))</f>
        <v>$AH$1296</v>
      </c>
      <c r="R1296" s="98" t="str">
        <f ca="1">IF(J1295&gt;=12,(MID(Q1296,1,1)&amp;MID(Q1296,2,4)+1),CELL("address",AI1296))</f>
        <v>$AI$1296</v>
      </c>
    </row>
    <row r="1297" spans="1:15" ht="15" customHeight="1">
      <c r="A1297" s="321"/>
      <c r="B1297" s="321"/>
      <c r="C1297" s="330"/>
      <c r="D1297" s="45" t="s">
        <v>31</v>
      </c>
      <c r="E1297" s="68">
        <v>0.301</v>
      </c>
      <c r="G1297" s="101" t="str">
        <f>CONCATENATE(D1297," - ",E1297,", ")</f>
        <v>Misc. Alumn. Scrap - 0.301, </v>
      </c>
      <c r="H1297" s="98"/>
      <c r="I1297" s="98"/>
      <c r="J1297" s="98"/>
      <c r="K1297" s="98"/>
      <c r="L1297" s="98"/>
      <c r="M1297" s="98"/>
      <c r="N1297" s="98"/>
      <c r="O1297" s="98"/>
    </row>
    <row r="1298" spans="1:8" ht="15" customHeight="1">
      <c r="A1298" s="321"/>
      <c r="B1298" s="321"/>
      <c r="C1298" s="330"/>
      <c r="D1298" s="40" t="s">
        <v>27</v>
      </c>
      <c r="E1298" s="68">
        <v>0.125</v>
      </c>
      <c r="G1298" s="101" t="str">
        <f>CONCATENATE(D1298," - ",E1298,", ")</f>
        <v>Iron scrap - 0.125, </v>
      </c>
      <c r="H1298" s="1"/>
    </row>
    <row r="1299" spans="1:8" ht="15" customHeight="1">
      <c r="A1299" s="321"/>
      <c r="B1299" s="321"/>
      <c r="C1299" s="330"/>
      <c r="D1299" s="40" t="s">
        <v>37</v>
      </c>
      <c r="E1299" s="64">
        <v>0.062</v>
      </c>
      <c r="G1299" s="101" t="str">
        <f>CONCATENATE(D1299," - ",E1299,", ")</f>
        <v>Burnt Cu scrap - 0.062, </v>
      </c>
      <c r="H1299" s="1"/>
    </row>
    <row r="1300" spans="1:8" ht="15" customHeight="1">
      <c r="A1300" s="321"/>
      <c r="B1300" s="321"/>
      <c r="C1300" s="330"/>
      <c r="D1300" s="40" t="s">
        <v>58</v>
      </c>
      <c r="E1300" s="64">
        <v>0.815</v>
      </c>
      <c r="G1300" s="193" t="str">
        <f>CONCATENATE(D1300," - ",E1300,", ")</f>
        <v>Nuts &amp; Bolts scrap - 0.815, </v>
      </c>
      <c r="H1300" s="1"/>
    </row>
    <row r="1301" spans="1:8" ht="15" customHeight="1">
      <c r="A1301" s="35"/>
      <c r="B1301" s="1"/>
      <c r="C1301" s="1"/>
      <c r="D1301" s="1"/>
      <c r="E1301" s="1"/>
      <c r="F1301" s="98"/>
      <c r="H1301" s="1"/>
    </row>
    <row r="1302" spans="1:15" ht="15" customHeight="1">
      <c r="A1302" s="332"/>
      <c r="B1302" s="333"/>
      <c r="C1302" s="66"/>
      <c r="D1302" s="66"/>
      <c r="E1302" s="118">
        <f>SUM(E1304:E1305)</f>
        <v>0.346</v>
      </c>
      <c r="F1302" s="98"/>
      <c r="G1302" s="98"/>
      <c r="H1302" s="98"/>
      <c r="I1302" s="98"/>
      <c r="J1302" s="98"/>
      <c r="K1302" s="98"/>
      <c r="L1302" s="98"/>
      <c r="M1302" s="98"/>
      <c r="N1302" s="98"/>
      <c r="O1302" s="98"/>
    </row>
    <row r="1303" spans="1:18" ht="15" customHeight="1">
      <c r="A1303" s="321" t="s">
        <v>5</v>
      </c>
      <c r="B1303" s="321"/>
      <c r="C1303" s="64" t="s">
        <v>17</v>
      </c>
      <c r="D1303" s="65" t="s">
        <v>18</v>
      </c>
      <c r="E1303" s="68" t="s">
        <v>7</v>
      </c>
      <c r="G1303" s="166" t="str">
        <f>CONCATENATE("Misc. Healthy parts/ Non Ferrous  Scrap, Lying at ",C1304,". Quantity in MT - ")</f>
        <v>Misc. Healthy parts/ Non Ferrous  Scrap, Lying at CS Ferozepur. Quantity in MT - </v>
      </c>
      <c r="H1303" s="324" t="str">
        <f ca="1">CONCATENATE(G1303,G1304,(INDIRECT(I1304)),(INDIRECT(J1304)),(INDIRECT(K1304)),(INDIRECT(L1304)),(INDIRECT(M1304)),(INDIRECT(N1304)),(INDIRECT(O1304)),(INDIRECT(P1304)),(INDIRECT(Q1304)),(INDIRECT(R1304)),".")</f>
        <v>Misc. Healthy parts/ Non Ferrous  Scrap, Lying at CS Ferozepur. Quantity in MT - Misc. copper scrap - 0.174, All Alumn. Conductor Scrap - 0.172, .</v>
      </c>
      <c r="I1303" s="98" t="str">
        <f aca="true" ca="1" t="array" ref="I1303">CELL("address",INDEX(G1303:G1324,MATCH(TRUE,ISBLANK(G1303:G1324),0)))</f>
        <v>$G$1306</v>
      </c>
      <c r="J1303" s="98">
        <f aca="true" t="array" ref="J1303">MATCH(TRUE,ISBLANK(G1303:G1324),0)</f>
        <v>4</v>
      </c>
      <c r="K1303" s="98">
        <f>J1303-3</f>
        <v>1</v>
      </c>
      <c r="L1303" s="98"/>
      <c r="M1303" s="98"/>
      <c r="N1303" s="98"/>
      <c r="O1303" s="98"/>
      <c r="P1303" s="98"/>
      <c r="Q1303" s="98"/>
      <c r="R1303" s="98"/>
    </row>
    <row r="1304" spans="1:18" ht="15" customHeight="1">
      <c r="A1304" s="321" t="s">
        <v>235</v>
      </c>
      <c r="B1304" s="321"/>
      <c r="C1304" s="330" t="s">
        <v>99</v>
      </c>
      <c r="D1304" s="60" t="s">
        <v>111</v>
      </c>
      <c r="E1304" s="69">
        <v>0.174</v>
      </c>
      <c r="G1304" s="101" t="str">
        <f>CONCATENATE(D1304," - ",E1304,", ")</f>
        <v>Misc. copper scrap - 0.174, </v>
      </c>
      <c r="H1304" s="324"/>
      <c r="I1304" s="98" t="str">
        <f ca="1">IF(J1303&gt;=3,(MID(I1303,2,1)&amp;MID(I1303,4,4)-K1303),CELL("address",Z1304))</f>
        <v>G1305</v>
      </c>
      <c r="J1304" s="98" t="str">
        <f ca="1">IF(J1303&gt;=4,(MID(I1304,1,1)&amp;MID(I1304,2,4)+1),CELL("address",AA1304))</f>
        <v>G1306</v>
      </c>
      <c r="K1304" s="98" t="str">
        <f ca="1">IF(J1303&gt;=5,(MID(J1304,1,1)&amp;MID(J1304,2,4)+1),CELL("address",AB1304))</f>
        <v>$AB$1304</v>
      </c>
      <c r="L1304" s="98" t="str">
        <f ca="1">IF(J1303&gt;=6,(MID(K1304,1,1)&amp;MID(K1304,2,4)+1),CELL("address",AC1304))</f>
        <v>$AC$1304</v>
      </c>
      <c r="M1304" s="98" t="str">
        <f ca="1">IF(J1303&gt;=7,(MID(L1304,1,1)&amp;MID(L1304,2,4)+1),CELL("address",AD1304))</f>
        <v>$AD$1304</v>
      </c>
      <c r="N1304" s="98" t="str">
        <f ca="1">IF(J1303&gt;=8,(MID(M1304,1,1)&amp;MID(M1304,2,4)+1),CELL("address",AE1304))</f>
        <v>$AE$1304</v>
      </c>
      <c r="O1304" s="98" t="str">
        <f ca="1">IF(J1303&gt;=9,(MID(N1304,1,1)&amp;MID(N1304,2,4)+1),CELL("address",AF1304))</f>
        <v>$AF$1304</v>
      </c>
      <c r="P1304" s="98" t="str">
        <f ca="1">IF(J1303&gt;=10,(MID(O1304,1,1)&amp;MID(O1304,2,4)+1),CELL("address",AG1304))</f>
        <v>$AG$1304</v>
      </c>
      <c r="Q1304" s="98" t="str">
        <f ca="1">IF(J1303&gt;=11,(MID(P1304,1,1)&amp;MID(P1304,2,4)+1),CELL("address",AH1304))</f>
        <v>$AH$1304</v>
      </c>
      <c r="R1304" s="98" t="str">
        <f ca="1">IF(J1303&gt;=12,(MID(Q1304,1,1)&amp;MID(Q1304,2,4)+1),CELL("address",AI1304))</f>
        <v>$AI$1304</v>
      </c>
    </row>
    <row r="1305" spans="1:15" ht="15" customHeight="1">
      <c r="A1305" s="321"/>
      <c r="B1305" s="321"/>
      <c r="C1305" s="330"/>
      <c r="D1305" s="45" t="s">
        <v>32</v>
      </c>
      <c r="E1305" s="46">
        <v>0.172</v>
      </c>
      <c r="G1305" s="101" t="str">
        <f>CONCATENATE(D1305," - ",E1305,", ")</f>
        <v>All Alumn. Conductor Scrap - 0.172, </v>
      </c>
      <c r="H1305" s="1"/>
      <c r="I1305" s="98"/>
      <c r="J1305" s="98"/>
      <c r="K1305" s="98"/>
      <c r="L1305" s="98"/>
      <c r="M1305" s="98"/>
      <c r="N1305" s="98"/>
      <c r="O1305" s="98"/>
    </row>
    <row r="1306" spans="1:8" ht="15" customHeight="1">
      <c r="A1306" s="35"/>
      <c r="B1306" s="1"/>
      <c r="C1306" s="1"/>
      <c r="D1306" s="1"/>
      <c r="E1306" s="1"/>
      <c r="H1306" s="1"/>
    </row>
    <row r="1307" spans="1:8" ht="15" customHeight="1">
      <c r="A1307" s="332"/>
      <c r="B1307" s="333"/>
      <c r="C1307" s="66"/>
      <c r="D1307" s="66"/>
      <c r="E1307" s="118">
        <f>SUM(E1309:E1312)</f>
        <v>0.36700000000000005</v>
      </c>
      <c r="H1307" s="1"/>
    </row>
    <row r="1308" spans="1:18" ht="15" customHeight="1">
      <c r="A1308" s="321" t="s">
        <v>5</v>
      </c>
      <c r="B1308" s="321"/>
      <c r="C1308" s="64" t="s">
        <v>17</v>
      </c>
      <c r="D1308" s="65" t="s">
        <v>18</v>
      </c>
      <c r="E1308" s="68" t="s">
        <v>7</v>
      </c>
      <c r="F1308" s="98"/>
      <c r="G1308" s="166" t="str">
        <f>CONCATENATE("Misc. Healthy parts/ Non Ferrous  Scrap, Lying at ",C1309,". Quantity in MT - ")</f>
        <v>Misc. Healthy parts/ Non Ferrous  Scrap, Lying at TRY Barnala. Quantity in MT - </v>
      </c>
      <c r="H1308" s="324" t="str">
        <f ca="1">CONCATENATE(G1308,G1309,(INDIRECT(I1309)),(INDIRECT(J1309)),(INDIRECT(K1309)),(INDIRECT(L1309)),(INDIRECT(M1309)),(INDIRECT(N1309)),(INDIRECT(O1309)),(INDIRECT(P1309)),(INDIRECT(Q1309)),(INDIRECT(R1309)),".")</f>
        <v>Misc. Healthy parts/ Non Ferrous  Scrap, Lying at TRY Barnala. Quantity in MT - Brass scrap - 0.276, Misc. Alumn. Scrap - 0.011, Iron scrap - 0.066, Burnt Cu scrap - 0.014, .</v>
      </c>
      <c r="I1308" s="98" t="str">
        <f aca="true" ca="1" t="array" ref="I1308">CELL("address",INDEX(G1308:G1329,MATCH(TRUE,ISBLANK(G1308:G1329),0)))</f>
        <v>$G$1313</v>
      </c>
      <c r="J1308" s="98">
        <f aca="true" t="array" ref="J1308">MATCH(TRUE,ISBLANK(G1308:G1329),0)</f>
        <v>6</v>
      </c>
      <c r="K1308" s="98">
        <f>J1308-3</f>
        <v>3</v>
      </c>
      <c r="L1308" s="98"/>
      <c r="M1308" s="98"/>
      <c r="N1308" s="98"/>
      <c r="O1308" s="98"/>
      <c r="P1308" s="98"/>
      <c r="Q1308" s="98"/>
      <c r="R1308" s="98"/>
    </row>
    <row r="1309" spans="1:18" ht="13.5" customHeight="1">
      <c r="A1309" s="321" t="s">
        <v>248</v>
      </c>
      <c r="B1309" s="321"/>
      <c r="C1309" s="330" t="s">
        <v>308</v>
      </c>
      <c r="D1309" s="45" t="s">
        <v>23</v>
      </c>
      <c r="E1309" s="119">
        <v>0.276</v>
      </c>
      <c r="F1309" s="98"/>
      <c r="G1309" s="101" t="str">
        <f>CONCATENATE(D1309," - ",E1309,", ")</f>
        <v>Brass scrap - 0.276, </v>
      </c>
      <c r="H1309" s="324"/>
      <c r="I1309" s="98" t="str">
        <f ca="1">IF(J1308&gt;=3,(MID(I1308,2,1)&amp;MID(I1308,4,4)-K1308),CELL("address",Z1309))</f>
        <v>G1310</v>
      </c>
      <c r="J1309" s="98" t="str">
        <f ca="1">IF(J1308&gt;=4,(MID(I1309,1,1)&amp;MID(I1309,2,4)+1),CELL("address",AA1309))</f>
        <v>G1311</v>
      </c>
      <c r="K1309" s="98" t="str">
        <f ca="1">IF(J1308&gt;=5,(MID(J1309,1,1)&amp;MID(J1309,2,4)+1),CELL("address",AB1309))</f>
        <v>G1312</v>
      </c>
      <c r="L1309" s="98" t="str">
        <f ca="1">IF(J1308&gt;=6,(MID(K1309,1,1)&amp;MID(K1309,2,4)+1),CELL("address",AC1309))</f>
        <v>G1313</v>
      </c>
      <c r="M1309" s="98" t="str">
        <f ca="1">IF(J1308&gt;=7,(MID(L1309,1,1)&amp;MID(L1309,2,4)+1),CELL("address",AD1309))</f>
        <v>$AD$1309</v>
      </c>
      <c r="N1309" s="98" t="str">
        <f ca="1">IF(J1308&gt;=8,(MID(M1309,1,1)&amp;MID(M1309,2,4)+1),CELL("address",AE1309))</f>
        <v>$AE$1309</v>
      </c>
      <c r="O1309" s="98" t="str">
        <f ca="1">IF(J1308&gt;=9,(MID(N1309,1,1)&amp;MID(N1309,2,4)+1),CELL("address",AF1309))</f>
        <v>$AF$1309</v>
      </c>
      <c r="P1309" s="98" t="str">
        <f ca="1">IF(J1308&gt;=10,(MID(O1309,1,1)&amp;MID(O1309,2,4)+1),CELL("address",AG1309))</f>
        <v>$AG$1309</v>
      </c>
      <c r="Q1309" s="98" t="str">
        <f ca="1">IF(J1308&gt;=11,(MID(P1309,1,1)&amp;MID(P1309,2,4)+1),CELL("address",AH1309))</f>
        <v>$AH$1309</v>
      </c>
      <c r="R1309" s="98" t="str">
        <f ca="1">IF(J1308&gt;=12,(MID(Q1309,1,1)&amp;MID(Q1309,2,4)+1),CELL("address",AI1309))</f>
        <v>$AI$1309</v>
      </c>
    </row>
    <row r="1310" spans="1:15" ht="15" customHeight="1">
      <c r="A1310" s="321"/>
      <c r="B1310" s="321"/>
      <c r="C1310" s="330"/>
      <c r="D1310" s="45" t="s">
        <v>31</v>
      </c>
      <c r="E1310" s="68">
        <v>0.011</v>
      </c>
      <c r="G1310" s="101" t="str">
        <f>CONCATENATE(D1310," - ",E1310,", ")</f>
        <v>Misc. Alumn. Scrap - 0.011, </v>
      </c>
      <c r="H1310" s="98"/>
      <c r="I1310" s="98"/>
      <c r="J1310" s="98"/>
      <c r="K1310" s="98"/>
      <c r="L1310" s="98"/>
      <c r="M1310" s="98"/>
      <c r="N1310" s="98"/>
      <c r="O1310" s="98"/>
    </row>
    <row r="1311" spans="1:8" ht="15" customHeight="1">
      <c r="A1311" s="321"/>
      <c r="B1311" s="321"/>
      <c r="C1311" s="330"/>
      <c r="D1311" s="40" t="s">
        <v>27</v>
      </c>
      <c r="E1311" s="68">
        <v>0.066</v>
      </c>
      <c r="G1311" s="101" t="str">
        <f>CONCATENATE(D1311," - ",E1311,", ")</f>
        <v>Iron scrap - 0.066, </v>
      </c>
      <c r="H1311" s="1"/>
    </row>
    <row r="1312" spans="1:8" ht="15" customHeight="1">
      <c r="A1312" s="321"/>
      <c r="B1312" s="321"/>
      <c r="C1312" s="330"/>
      <c r="D1312" s="40" t="s">
        <v>37</v>
      </c>
      <c r="E1312" s="229">
        <v>0.014</v>
      </c>
      <c r="G1312" s="101" t="str">
        <f>CONCATENATE(D1312," - ",E1312,", ")</f>
        <v>Burnt Cu scrap - 0.014, </v>
      </c>
      <c r="H1312" s="1"/>
    </row>
    <row r="1313" spans="1:8" ht="15" customHeight="1">
      <c r="A1313" s="35"/>
      <c r="B1313" s="1"/>
      <c r="C1313" s="1"/>
      <c r="D1313" s="1"/>
      <c r="E1313" s="1"/>
      <c r="H1313" s="1"/>
    </row>
    <row r="1314" spans="1:8" ht="14.25" customHeight="1">
      <c r="A1314" s="332"/>
      <c r="B1314" s="333"/>
      <c r="C1314" s="66"/>
      <c r="D1314" s="66"/>
      <c r="E1314" s="118">
        <f>SUM(E1316:E1317)</f>
        <v>0.649</v>
      </c>
      <c r="H1314" s="1"/>
    </row>
    <row r="1315" spans="1:18" ht="18.75" customHeight="1">
      <c r="A1315" s="321" t="s">
        <v>5</v>
      </c>
      <c r="B1315" s="321"/>
      <c r="C1315" s="64" t="s">
        <v>17</v>
      </c>
      <c r="D1315" s="65" t="s">
        <v>18</v>
      </c>
      <c r="E1315" s="68" t="s">
        <v>7</v>
      </c>
      <c r="G1315" s="166" t="str">
        <f>CONCATENATE("Misc. Healthy parts/ Non Ferrous  Scrap, Lying at ",C1316,". Quantity in MT - ")</f>
        <v>Misc. Healthy parts/ Non Ferrous  Scrap, Lying at TRY Patiala. Quantity in MT - </v>
      </c>
      <c r="H1315" s="324" t="str">
        <f ca="1">CONCATENATE(G1315,G1316,(INDIRECT(I1316)),(INDIRECT(J1316)),(INDIRECT(K1316)),(INDIRECT(L1316)),(INDIRECT(M1316)),(INDIRECT(N1316)),(INDIRECT(O1316)),(INDIRECT(P1316)),(INDIRECT(Q1316)),(INDIRECT(R1316)),".")</f>
        <v>Misc. Healthy parts/ Non Ferrous  Scrap, Lying at TRY Patiala. Quantity in MT - Brass scrap - 0.61, Misc. Alumn. Scrap - 0.039, .</v>
      </c>
      <c r="I1315" s="98" t="str">
        <f aca="true" ca="1" t="array" ref="I1315">CELL("address",INDEX(G1315:G1336,MATCH(TRUE,ISBLANK(G1315:G1336),0)))</f>
        <v>$G$1318</v>
      </c>
      <c r="J1315" s="98">
        <f aca="true" t="array" ref="J1315">MATCH(TRUE,ISBLANK(G1315:G1336),0)</f>
        <v>4</v>
      </c>
      <c r="K1315" s="98">
        <f>J1315-3</f>
        <v>1</v>
      </c>
      <c r="L1315" s="98"/>
      <c r="M1315" s="98"/>
      <c r="N1315" s="98"/>
      <c r="O1315" s="98"/>
      <c r="P1315" s="98"/>
      <c r="Q1315" s="98"/>
      <c r="R1315" s="98"/>
    </row>
    <row r="1316" spans="1:18" ht="18.75" customHeight="1">
      <c r="A1316" s="321" t="s">
        <v>264</v>
      </c>
      <c r="B1316" s="321"/>
      <c r="C1316" s="330" t="s">
        <v>120</v>
      </c>
      <c r="D1316" s="45" t="s">
        <v>23</v>
      </c>
      <c r="E1316" s="119">
        <v>0.61</v>
      </c>
      <c r="G1316" s="101" t="str">
        <f>CONCATENATE(D1316," - ",E1316,", ")</f>
        <v>Brass scrap - 0.61, </v>
      </c>
      <c r="H1316" s="324"/>
      <c r="I1316" s="98" t="str">
        <f ca="1">IF(J1315&gt;=3,(MID(I1315,2,1)&amp;MID(I1315,4,4)-K1315),CELL("address",Z1316))</f>
        <v>G1317</v>
      </c>
      <c r="J1316" s="98" t="str">
        <f ca="1">IF(J1315&gt;=4,(MID(I1316,1,1)&amp;MID(I1316,2,4)+1),CELL("address",AA1316))</f>
        <v>G1318</v>
      </c>
      <c r="K1316" s="98" t="str">
        <f ca="1">IF(J1315&gt;=5,(MID(J1316,1,1)&amp;MID(J1316,2,4)+1),CELL("address",AB1316))</f>
        <v>$AB$1316</v>
      </c>
      <c r="L1316" s="98" t="str">
        <f ca="1">IF(J1315&gt;=6,(MID(K1316,1,1)&amp;MID(K1316,2,4)+1),CELL("address",AC1316))</f>
        <v>$AC$1316</v>
      </c>
      <c r="M1316" s="98" t="str">
        <f ca="1">IF(J1315&gt;=7,(MID(L1316,1,1)&amp;MID(L1316,2,4)+1),CELL("address",AD1316))</f>
        <v>$AD$1316</v>
      </c>
      <c r="N1316" s="98" t="str">
        <f ca="1">IF(J1315&gt;=8,(MID(M1316,1,1)&amp;MID(M1316,2,4)+1),CELL("address",AE1316))</f>
        <v>$AE$1316</v>
      </c>
      <c r="O1316" s="98" t="str">
        <f ca="1">IF(J1315&gt;=9,(MID(N1316,1,1)&amp;MID(N1316,2,4)+1),CELL("address",AF1316))</f>
        <v>$AF$1316</v>
      </c>
      <c r="P1316" s="98" t="str">
        <f ca="1">IF(J1315&gt;=10,(MID(O1316,1,1)&amp;MID(O1316,2,4)+1),CELL("address",AG1316))</f>
        <v>$AG$1316</v>
      </c>
      <c r="Q1316" s="98" t="str">
        <f ca="1">IF(J1315&gt;=11,(MID(P1316,1,1)&amp;MID(P1316,2,4)+1),CELL("address",AH1316))</f>
        <v>$AH$1316</v>
      </c>
      <c r="R1316" s="98" t="str">
        <f ca="1">IF(J1315&gt;=12,(MID(Q1316,1,1)&amp;MID(Q1316,2,4)+1),CELL("address",AI1316))</f>
        <v>$AI$1316</v>
      </c>
    </row>
    <row r="1317" spans="1:15" ht="15.75" customHeight="1">
      <c r="A1317" s="321"/>
      <c r="B1317" s="321"/>
      <c r="C1317" s="330"/>
      <c r="D1317" s="45" t="s">
        <v>31</v>
      </c>
      <c r="E1317" s="68">
        <v>0.039</v>
      </c>
      <c r="G1317" s="101" t="str">
        <f>CONCATENATE(D1317," - ",E1317,", ")</f>
        <v>Misc. Alumn. Scrap - 0.039, </v>
      </c>
      <c r="H1317" s="1"/>
      <c r="I1317" s="98"/>
      <c r="J1317" s="98"/>
      <c r="K1317" s="98"/>
      <c r="L1317" s="98"/>
      <c r="M1317" s="98"/>
      <c r="N1317" s="98"/>
      <c r="O1317" s="98"/>
    </row>
    <row r="1318" spans="1:8" ht="14.25" customHeight="1">
      <c r="A1318" s="1"/>
      <c r="B1318" s="1"/>
      <c r="C1318" s="1"/>
      <c r="D1318" s="1"/>
      <c r="E1318" s="1"/>
      <c r="H1318" s="1"/>
    </row>
    <row r="1319" spans="1:8" ht="11.25" customHeight="1">
      <c r="A1319" s="332"/>
      <c r="B1319" s="333"/>
      <c r="C1319" s="66"/>
      <c r="D1319" s="66"/>
      <c r="E1319" s="67">
        <f>SUM(E1321:E1322)</f>
        <v>0.29000000000000004</v>
      </c>
      <c r="H1319" s="1"/>
    </row>
    <row r="1320" spans="1:18" ht="15" customHeight="1">
      <c r="A1320" s="321" t="s">
        <v>5</v>
      </c>
      <c r="B1320" s="321"/>
      <c r="C1320" s="64" t="s">
        <v>17</v>
      </c>
      <c r="D1320" s="65" t="s">
        <v>18</v>
      </c>
      <c r="E1320" s="64" t="s">
        <v>7</v>
      </c>
      <c r="G1320" s="166" t="str">
        <f>CONCATENATE("Misc. Healthy parts/ Non Ferrous  Scrap, Lying at ",C1321,". Quantity in MT - ")</f>
        <v>Misc. Healthy parts/ Non Ferrous  Scrap, Lying at TRY Ropar. Quantity in MT - </v>
      </c>
      <c r="H1320" s="324" t="str">
        <f ca="1">CONCATENATE(G1320,G1321,(INDIRECT(I1321)),(INDIRECT(J1321)),(INDIRECT(K1321)),(INDIRECT(L1321)),(INDIRECT(M1321)),(INDIRECT(N1321)),(INDIRECT(O1321)),(INDIRECT(P1321)),(INDIRECT(Q1321)),(INDIRECT(R1321)),".")</f>
        <v>Misc. Healthy parts/ Non Ferrous  Scrap, Lying at TRY Ropar. Quantity in MT - Misc. Alumn. Scrap - 0.154, Burnt Cu scrap - 0.136, .</v>
      </c>
      <c r="I1320" s="98" t="str">
        <f aca="true" ca="1" t="array" ref="I1320">CELL("address",INDEX(G1320:G1341,MATCH(TRUE,ISBLANK(G1320:G1341),0)))</f>
        <v>$G$1323</v>
      </c>
      <c r="J1320" s="98">
        <f aca="true" t="array" ref="J1320">MATCH(TRUE,ISBLANK(G1320:G1341),0)</f>
        <v>4</v>
      </c>
      <c r="K1320" s="98">
        <f>J1320-3</f>
        <v>1</v>
      </c>
      <c r="L1320" s="98"/>
      <c r="M1320" s="98"/>
      <c r="N1320" s="98"/>
      <c r="O1320" s="98"/>
      <c r="P1320" s="98"/>
      <c r="Q1320" s="98"/>
      <c r="R1320" s="98"/>
    </row>
    <row r="1321" spans="1:18" ht="15" customHeight="1">
      <c r="A1321" s="321" t="s">
        <v>269</v>
      </c>
      <c r="B1321" s="321"/>
      <c r="C1321" s="330" t="s">
        <v>143</v>
      </c>
      <c r="D1321" s="45" t="s">
        <v>31</v>
      </c>
      <c r="E1321" s="45">
        <v>0.154</v>
      </c>
      <c r="G1321" s="101" t="str">
        <f>CONCATENATE(D1321," - ",E1321,", ")</f>
        <v>Misc. Alumn. Scrap - 0.154, </v>
      </c>
      <c r="H1321" s="324"/>
      <c r="I1321" s="98" t="str">
        <f ca="1">IF(J1320&gt;=3,(MID(I1320,2,1)&amp;MID(I1320,4,4)-K1320),CELL("address",Z1321))</f>
        <v>G1322</v>
      </c>
      <c r="J1321" s="98" t="str">
        <f ca="1">IF(J1320&gt;=4,(MID(I1321,1,1)&amp;MID(I1321,2,4)+1),CELL("address",AA1321))</f>
        <v>G1323</v>
      </c>
      <c r="K1321" s="98" t="str">
        <f ca="1">IF(J1320&gt;=5,(MID(J1321,1,1)&amp;MID(J1321,2,4)+1),CELL("address",AB1321))</f>
        <v>$AB$1321</v>
      </c>
      <c r="L1321" s="98" t="str">
        <f ca="1">IF(J1320&gt;=6,(MID(K1321,1,1)&amp;MID(K1321,2,4)+1),CELL("address",AC1321))</f>
        <v>$AC$1321</v>
      </c>
      <c r="M1321" s="98" t="str">
        <f ca="1">IF(J1320&gt;=7,(MID(L1321,1,1)&amp;MID(L1321,2,4)+1),CELL("address",AD1321))</f>
        <v>$AD$1321</v>
      </c>
      <c r="N1321" s="98" t="str">
        <f ca="1">IF(J1320&gt;=8,(MID(M1321,1,1)&amp;MID(M1321,2,4)+1),CELL("address",AE1321))</f>
        <v>$AE$1321</v>
      </c>
      <c r="O1321" s="98" t="str">
        <f ca="1">IF(J1320&gt;=9,(MID(N1321,1,1)&amp;MID(N1321,2,4)+1),CELL("address",AF1321))</f>
        <v>$AF$1321</v>
      </c>
      <c r="P1321" s="98" t="str">
        <f ca="1">IF(J1320&gt;=10,(MID(O1321,1,1)&amp;MID(O1321,2,4)+1),CELL("address",AG1321))</f>
        <v>$AG$1321</v>
      </c>
      <c r="Q1321" s="98" t="str">
        <f ca="1">IF(J1320&gt;=11,(MID(P1321,1,1)&amp;MID(P1321,2,4)+1),CELL("address",AH1321))</f>
        <v>$AH$1321</v>
      </c>
      <c r="R1321" s="98" t="str">
        <f ca="1">IF(J1320&gt;=12,(MID(Q1321,1,1)&amp;MID(Q1321,2,4)+1),CELL("address",AI1321))</f>
        <v>$AI$1321</v>
      </c>
    </row>
    <row r="1322" spans="1:15" ht="15" customHeight="1">
      <c r="A1322" s="321"/>
      <c r="B1322" s="321"/>
      <c r="C1322" s="330"/>
      <c r="D1322" s="40" t="s">
        <v>37</v>
      </c>
      <c r="E1322" s="64">
        <v>0.136</v>
      </c>
      <c r="G1322" s="101" t="str">
        <f>CONCATENATE(D1322," - ",E1322,", ")</f>
        <v>Burnt Cu scrap - 0.136, </v>
      </c>
      <c r="H1322" s="1"/>
      <c r="I1322" s="98"/>
      <c r="J1322" s="98"/>
      <c r="K1322" s="98"/>
      <c r="L1322" s="98"/>
      <c r="M1322" s="98"/>
      <c r="N1322" s="98"/>
      <c r="O1322" s="98"/>
    </row>
    <row r="1323" spans="1:8" ht="15" customHeight="1">
      <c r="A1323" s="1"/>
      <c r="B1323" s="1"/>
      <c r="C1323" s="1"/>
      <c r="D1323" s="1"/>
      <c r="E1323" s="1"/>
      <c r="H1323" s="1"/>
    </row>
    <row r="1324" spans="1:8" ht="15" customHeight="1">
      <c r="A1324" s="332"/>
      <c r="B1324" s="333"/>
      <c r="C1324" s="66"/>
      <c r="D1324" s="66"/>
      <c r="E1324" s="118">
        <f>SUM(E1326:E1328)</f>
        <v>0.277</v>
      </c>
      <c r="H1324" s="1"/>
    </row>
    <row r="1325" spans="1:18" ht="15" customHeight="1">
      <c r="A1325" s="321" t="s">
        <v>5</v>
      </c>
      <c r="B1325" s="321"/>
      <c r="C1325" s="64" t="s">
        <v>17</v>
      </c>
      <c r="D1325" s="65" t="s">
        <v>18</v>
      </c>
      <c r="E1325" s="68" t="s">
        <v>7</v>
      </c>
      <c r="G1325" s="166" t="str">
        <f>CONCATENATE("Misc. Healthy parts/ Non Ferrous  Scrap, Lying at ",C1326,". Quantity in MT - ")</f>
        <v>Misc. Healthy parts/ Non Ferrous  Scrap, Lying at TRY Kotkapura. Quantity in MT - </v>
      </c>
      <c r="H1325" s="324" t="str">
        <f ca="1">CONCATENATE(G1325,G1326,(INDIRECT(I1326)),(INDIRECT(J1326)),(INDIRECT(K1326)),(INDIRECT(L1326)),(INDIRECT(M1326)),(INDIRECT(N1326)),(INDIRECT(O1326)),(INDIRECT(P1326)),(INDIRECT(Q1326)),(INDIRECT(R1326)),".")</f>
        <v>Misc. Healthy parts/ Non Ferrous  Scrap, Lying at TRY Kotkapura. Quantity in MT - Misc. Alumn. Scrap - 0.055, Iron scrap - 0.058, Brass scrap - 0.164, .</v>
      </c>
      <c r="I1325" s="98" t="str">
        <f aca="true" ca="1" t="array" ref="I1325">CELL("address",INDEX(G1325:G1346,MATCH(TRUE,ISBLANK(G1325:G1346),0)))</f>
        <v>$G$1329</v>
      </c>
      <c r="J1325" s="98">
        <f aca="true" t="array" ref="J1325">MATCH(TRUE,ISBLANK(G1325:G1346),0)</f>
        <v>5</v>
      </c>
      <c r="K1325" s="98">
        <f>J1325-3</f>
        <v>2</v>
      </c>
      <c r="L1325" s="98"/>
      <c r="M1325" s="98"/>
      <c r="N1325" s="98"/>
      <c r="O1325" s="98"/>
      <c r="P1325" s="98"/>
      <c r="Q1325" s="98"/>
      <c r="R1325" s="98"/>
    </row>
    <row r="1326" spans="1:18" ht="15" customHeight="1">
      <c r="A1326" s="321" t="s">
        <v>352</v>
      </c>
      <c r="B1326" s="321"/>
      <c r="C1326" s="330" t="s">
        <v>246</v>
      </c>
      <c r="D1326" s="45" t="s">
        <v>31</v>
      </c>
      <c r="E1326" s="68">
        <v>0.055</v>
      </c>
      <c r="G1326" s="101" t="str">
        <f>CONCATENATE(D1326," - ",E1326,", ")</f>
        <v>Misc. Alumn. Scrap - 0.055, </v>
      </c>
      <c r="H1326" s="324"/>
      <c r="I1326" s="98" t="str">
        <f ca="1">IF(J1325&gt;=3,(MID(I1325,2,1)&amp;MID(I1325,4,4)-K1325),CELL("address",Z1326))</f>
        <v>G1327</v>
      </c>
      <c r="J1326" s="98" t="str">
        <f ca="1">IF(J1325&gt;=4,(MID(I1326,1,1)&amp;MID(I1326,2,4)+1),CELL("address",AA1326))</f>
        <v>G1328</v>
      </c>
      <c r="K1326" s="98" t="str">
        <f ca="1">IF(J1325&gt;=5,(MID(J1326,1,1)&amp;MID(J1326,2,4)+1),CELL("address",AB1326))</f>
        <v>G1329</v>
      </c>
      <c r="L1326" s="98" t="str">
        <f ca="1">IF(J1325&gt;=6,(MID(K1326,1,1)&amp;MID(K1326,2,4)+1),CELL("address",AC1326))</f>
        <v>$AC$1326</v>
      </c>
      <c r="M1326" s="98" t="str">
        <f ca="1">IF(J1325&gt;=7,(MID(L1326,1,1)&amp;MID(L1326,2,4)+1),CELL("address",AD1326))</f>
        <v>$AD$1326</v>
      </c>
      <c r="N1326" s="98" t="str">
        <f ca="1">IF(J1325&gt;=8,(MID(M1326,1,1)&amp;MID(M1326,2,4)+1),CELL("address",AE1326))</f>
        <v>$AE$1326</v>
      </c>
      <c r="O1326" s="98" t="str">
        <f ca="1">IF(J1325&gt;=9,(MID(N1326,1,1)&amp;MID(N1326,2,4)+1),CELL("address",AF1326))</f>
        <v>$AF$1326</v>
      </c>
      <c r="P1326" s="98" t="str">
        <f ca="1">IF(J1325&gt;=10,(MID(O1326,1,1)&amp;MID(O1326,2,4)+1),CELL("address",AG1326))</f>
        <v>$AG$1326</v>
      </c>
      <c r="Q1326" s="98" t="str">
        <f ca="1">IF(J1325&gt;=11,(MID(P1326,1,1)&amp;MID(P1326,2,4)+1),CELL("address",AH1326))</f>
        <v>$AH$1326</v>
      </c>
      <c r="R1326" s="98" t="str">
        <f ca="1">IF(J1325&gt;=12,(MID(Q1326,1,1)&amp;MID(Q1326,2,4)+1),CELL("address",AI1326))</f>
        <v>$AI$1326</v>
      </c>
    </row>
    <row r="1327" spans="1:15" ht="15" customHeight="1">
      <c r="A1327" s="321"/>
      <c r="B1327" s="321"/>
      <c r="C1327" s="330"/>
      <c r="D1327" s="40" t="s">
        <v>27</v>
      </c>
      <c r="E1327" s="68">
        <v>0.058</v>
      </c>
      <c r="G1327" s="101" t="str">
        <f>CONCATENATE(D1327," - ",E1327,", ")</f>
        <v>Iron scrap - 0.058, </v>
      </c>
      <c r="H1327" s="1"/>
      <c r="I1327" s="98"/>
      <c r="J1327" s="98"/>
      <c r="K1327" s="98"/>
      <c r="L1327" s="98"/>
      <c r="M1327" s="98"/>
      <c r="N1327" s="98"/>
      <c r="O1327" s="98"/>
    </row>
    <row r="1328" spans="1:8" ht="15" customHeight="1">
      <c r="A1328" s="321"/>
      <c r="B1328" s="321"/>
      <c r="C1328" s="330"/>
      <c r="D1328" s="45" t="s">
        <v>23</v>
      </c>
      <c r="E1328" s="64">
        <v>0.164</v>
      </c>
      <c r="G1328" s="101" t="str">
        <f>CONCATENATE(D1328," - ",E1328,", ")</f>
        <v>Brass scrap - 0.164, </v>
      </c>
      <c r="H1328" s="1"/>
    </row>
    <row r="1329" spans="1:8" ht="13.5" customHeight="1">
      <c r="A1329" s="1"/>
      <c r="B1329" s="1"/>
      <c r="C1329" s="1"/>
      <c r="D1329" s="1"/>
      <c r="E1329" s="1"/>
      <c r="H1329" s="1"/>
    </row>
    <row r="1330" spans="1:8" ht="13.5" customHeight="1">
      <c r="A1330" s="332"/>
      <c r="B1330" s="333"/>
      <c r="C1330" s="66"/>
      <c r="D1330" s="66"/>
      <c r="E1330" s="118">
        <f>SUM(E1332:E1333)</f>
        <v>0.007</v>
      </c>
      <c r="H1330" s="1"/>
    </row>
    <row r="1331" spans="1:18" ht="15" customHeight="1">
      <c r="A1331" s="321" t="s">
        <v>5</v>
      </c>
      <c r="B1331" s="321"/>
      <c r="C1331" s="64" t="s">
        <v>17</v>
      </c>
      <c r="D1331" s="65" t="s">
        <v>18</v>
      </c>
      <c r="E1331" s="68" t="s">
        <v>7</v>
      </c>
      <c r="G1331" s="166" t="str">
        <f>CONCATENATE("Misc. Healthy parts/ Non Ferrous  Scrap, Lying at ",C1332,". Quantity in MT - ")</f>
        <v>Misc. Healthy parts/ Non Ferrous  Scrap, Lying at TRY Moga. Quantity in MT - </v>
      </c>
      <c r="H1331" s="324" t="str">
        <f ca="1">CONCATENATE(G1331,G1332,(INDIRECT(I1332)),(INDIRECT(J1332)),(INDIRECT(K1332)),(INDIRECT(L1332)),(INDIRECT(M1332)),(INDIRECT(N1332)),(INDIRECT(O1332)),(INDIRECT(P1332)),(INDIRECT(Q1332)),(INDIRECT(R1332)),".")</f>
        <v>Misc. Healthy parts/ Non Ferrous  Scrap, Lying at TRY Moga. Quantity in MT - Misc. Alumn. Scrap - 0.004, Iron scrap - 0.003, .</v>
      </c>
      <c r="I1331" s="98" t="str">
        <f aca="true" ca="1" t="array" ref="I1331">CELL("address",INDEX(G1331:G1352,MATCH(TRUE,ISBLANK(G1331:G1352),0)))</f>
        <v>$G$1334</v>
      </c>
      <c r="J1331" s="98">
        <f aca="true" t="array" ref="J1331">MATCH(TRUE,ISBLANK(G1331:G1352),0)</f>
        <v>4</v>
      </c>
      <c r="K1331" s="98">
        <f>J1331-3</f>
        <v>1</v>
      </c>
      <c r="L1331" s="98"/>
      <c r="M1331" s="98"/>
      <c r="N1331" s="98"/>
      <c r="O1331" s="98"/>
      <c r="P1331" s="98"/>
      <c r="Q1331" s="98"/>
      <c r="R1331" s="98"/>
    </row>
    <row r="1332" spans="1:18" ht="15" customHeight="1">
      <c r="A1332" s="321" t="s">
        <v>423</v>
      </c>
      <c r="B1332" s="321"/>
      <c r="C1332" s="330" t="s">
        <v>222</v>
      </c>
      <c r="D1332" s="45" t="s">
        <v>31</v>
      </c>
      <c r="E1332" s="119">
        <v>0.004</v>
      </c>
      <c r="G1332" s="101" t="str">
        <f>CONCATENATE(D1332," - ",E1332,", ")</f>
        <v>Misc. Alumn. Scrap - 0.004, </v>
      </c>
      <c r="H1332" s="324"/>
      <c r="I1332" s="98" t="str">
        <f ca="1">IF(J1331&gt;=3,(MID(I1331,2,1)&amp;MID(I1331,4,4)-K1331),CELL("address",Z1332))</f>
        <v>G1333</v>
      </c>
      <c r="J1332" s="98" t="str">
        <f ca="1">IF(J1331&gt;=4,(MID(I1332,1,1)&amp;MID(I1332,2,4)+1),CELL("address",AA1332))</f>
        <v>G1334</v>
      </c>
      <c r="K1332" s="98" t="str">
        <f ca="1">IF(J1331&gt;=5,(MID(J1332,1,1)&amp;MID(J1332,2,4)+1),CELL("address",AB1332))</f>
        <v>$AB$1332</v>
      </c>
      <c r="L1332" s="98" t="str">
        <f ca="1">IF(J1331&gt;=6,(MID(K1332,1,1)&amp;MID(K1332,2,4)+1),CELL("address",AC1332))</f>
        <v>$AC$1332</v>
      </c>
      <c r="M1332" s="98" t="str">
        <f ca="1">IF(J1331&gt;=7,(MID(L1332,1,1)&amp;MID(L1332,2,4)+1),CELL("address",AD1332))</f>
        <v>$AD$1332</v>
      </c>
      <c r="N1332" s="98" t="str">
        <f ca="1">IF(J1331&gt;=8,(MID(M1332,1,1)&amp;MID(M1332,2,4)+1),CELL("address",AE1332))</f>
        <v>$AE$1332</v>
      </c>
      <c r="O1332" s="98" t="str">
        <f ca="1">IF(J1331&gt;=9,(MID(N1332,1,1)&amp;MID(N1332,2,4)+1),CELL("address",AF1332))</f>
        <v>$AF$1332</v>
      </c>
      <c r="P1332" s="98" t="str">
        <f ca="1">IF(J1331&gt;=10,(MID(O1332,1,1)&amp;MID(O1332,2,4)+1),CELL("address",AG1332))</f>
        <v>$AG$1332</v>
      </c>
      <c r="Q1332" s="98" t="str">
        <f ca="1">IF(J1331&gt;=11,(MID(P1332,1,1)&amp;MID(P1332,2,4)+1),CELL("address",AH1332))</f>
        <v>$AH$1332</v>
      </c>
      <c r="R1332" s="98" t="str">
        <f ca="1">IF(J1331&gt;=12,(MID(Q1332,1,1)&amp;MID(Q1332,2,4)+1),CELL("address",AI1332))</f>
        <v>$AI$1332</v>
      </c>
    </row>
    <row r="1333" spans="1:15" ht="15" customHeight="1">
      <c r="A1333" s="321"/>
      <c r="B1333" s="321"/>
      <c r="C1333" s="330"/>
      <c r="D1333" s="40" t="s">
        <v>27</v>
      </c>
      <c r="E1333" s="68">
        <v>0.003</v>
      </c>
      <c r="G1333" s="101" t="str">
        <f>CONCATENATE(D1333," - ",E1333,", ")</f>
        <v>Iron scrap - 0.003, </v>
      </c>
      <c r="H1333" s="1"/>
      <c r="I1333" s="98"/>
      <c r="J1333" s="98"/>
      <c r="K1333" s="98"/>
      <c r="L1333" s="98"/>
      <c r="M1333" s="98"/>
      <c r="N1333" s="98"/>
      <c r="O1333" s="98"/>
    </row>
    <row r="1334" spans="1:8" ht="15" customHeight="1">
      <c r="A1334" s="1"/>
      <c r="B1334" s="1"/>
      <c r="C1334" s="1"/>
      <c r="D1334" s="1"/>
      <c r="E1334" s="1"/>
      <c r="H1334" s="1"/>
    </row>
    <row r="1335" spans="1:8" ht="15" customHeight="1">
      <c r="A1335" s="332"/>
      <c r="B1335" s="333"/>
      <c r="C1335" s="66"/>
      <c r="D1335" s="66"/>
      <c r="E1335" s="118">
        <f>SUM(E1337:E1338)</f>
        <v>0.319</v>
      </c>
      <c r="H1335" s="1"/>
    </row>
    <row r="1336" spans="1:18" ht="15" customHeight="1">
      <c r="A1336" s="321" t="s">
        <v>5</v>
      </c>
      <c r="B1336" s="321"/>
      <c r="C1336" s="64" t="s">
        <v>17</v>
      </c>
      <c r="D1336" s="65" t="s">
        <v>18</v>
      </c>
      <c r="E1336" s="68" t="s">
        <v>7</v>
      </c>
      <c r="G1336" s="166" t="str">
        <f>CONCATENATE("Misc. Healthy parts/ Non Ferrous  Scrap, Lying at ",C1337,". Quantity in MT - ")</f>
        <v>Misc. Healthy parts/ Non Ferrous  Scrap, Lying at OL Nabha. Quantity in MT - </v>
      </c>
      <c r="H1336" s="324" t="str">
        <f ca="1">CONCATENATE(G1336,G1337,(INDIRECT(I1337)),(INDIRECT(J1337)),(INDIRECT(K1337)),(INDIRECT(L1337)),(INDIRECT(M1337)),(INDIRECT(N1337)),(INDIRECT(O1337)),(INDIRECT(P1337)),(INDIRECT(Q1337)),(INDIRECT(R1337)),".")</f>
        <v>Misc. Healthy parts/ Non Ferrous  Scrap, Lying at OL Nabha. Quantity in MT - Misc. Alumn. Scrap - 0.11, Misc. copper scrap - 0.209, .</v>
      </c>
      <c r="I1336" s="98" t="str">
        <f aca="true" ca="1" t="array" ref="I1336">CELL("address",INDEX(G1336:G1357,MATCH(TRUE,ISBLANK(G1336:G1357),0)))</f>
        <v>$G$1339</v>
      </c>
      <c r="J1336" s="98">
        <f aca="true" t="array" ref="J1336">MATCH(TRUE,ISBLANK(G1336:G1357),0)</f>
        <v>4</v>
      </c>
      <c r="K1336" s="98">
        <f>J1336-3</f>
        <v>1</v>
      </c>
      <c r="L1336" s="98"/>
      <c r="M1336" s="98"/>
      <c r="N1336" s="98"/>
      <c r="O1336" s="98"/>
      <c r="P1336" s="98"/>
      <c r="Q1336" s="98"/>
      <c r="R1336" s="98"/>
    </row>
    <row r="1337" spans="1:18" ht="15" customHeight="1">
      <c r="A1337" s="321" t="s">
        <v>489</v>
      </c>
      <c r="B1337" s="321"/>
      <c r="C1337" s="330" t="s">
        <v>104</v>
      </c>
      <c r="D1337" s="34" t="s">
        <v>31</v>
      </c>
      <c r="E1337" s="155">
        <v>0.11</v>
      </c>
      <c r="F1337" s="1">
        <v>0.007</v>
      </c>
      <c r="G1337" s="101" t="str">
        <f>CONCATENATE(D1337," - ",E1337,", ")</f>
        <v>Misc. Alumn. Scrap - 0.11, </v>
      </c>
      <c r="H1337" s="324"/>
      <c r="I1337" s="98" t="str">
        <f ca="1">IF(J1336&gt;=3,(MID(I1336,2,1)&amp;MID(I1336,4,4)-K1336),CELL("address",Z1337))</f>
        <v>G1338</v>
      </c>
      <c r="J1337" s="98" t="str">
        <f ca="1">IF(J1336&gt;=4,(MID(I1337,1,1)&amp;MID(I1337,2,4)+1),CELL("address",AA1337))</f>
        <v>G1339</v>
      </c>
      <c r="K1337" s="98" t="str">
        <f ca="1">IF(J1336&gt;=5,(MID(J1337,1,1)&amp;MID(J1337,2,4)+1),CELL("address",AB1337))</f>
        <v>$AB$1337</v>
      </c>
      <c r="L1337" s="98" t="str">
        <f ca="1">IF(J1336&gt;=6,(MID(K1337,1,1)&amp;MID(K1337,2,4)+1),CELL("address",AC1337))</f>
        <v>$AC$1337</v>
      </c>
      <c r="M1337" s="98" t="str">
        <f ca="1">IF(J1336&gt;=7,(MID(L1337,1,1)&amp;MID(L1337,2,4)+1),CELL("address",AD1337))</f>
        <v>$AD$1337</v>
      </c>
      <c r="N1337" s="98" t="str">
        <f ca="1">IF(J1336&gt;=8,(MID(M1337,1,1)&amp;MID(M1337,2,4)+1),CELL("address",AE1337))</f>
        <v>$AE$1337</v>
      </c>
      <c r="O1337" s="98" t="str">
        <f ca="1">IF(J1336&gt;=9,(MID(N1337,1,1)&amp;MID(N1337,2,4)+1),CELL("address",AF1337))</f>
        <v>$AF$1337</v>
      </c>
      <c r="P1337" s="98" t="str">
        <f ca="1">IF(J1336&gt;=10,(MID(O1337,1,1)&amp;MID(O1337,2,4)+1),CELL("address",AG1337))</f>
        <v>$AG$1337</v>
      </c>
      <c r="Q1337" s="98" t="str">
        <f ca="1">IF(J1336&gt;=11,(MID(P1337,1,1)&amp;MID(P1337,2,4)+1),CELL("address",AH1337))</f>
        <v>$AH$1337</v>
      </c>
      <c r="R1337" s="98" t="str">
        <f ca="1">IF(J1336&gt;=12,(MID(Q1337,1,1)&amp;MID(Q1337,2,4)+1),CELL("address",AI1337))</f>
        <v>$AI$1337</v>
      </c>
    </row>
    <row r="1338" spans="1:15" ht="15" customHeight="1">
      <c r="A1338" s="321"/>
      <c r="B1338" s="321"/>
      <c r="C1338" s="330"/>
      <c r="D1338" s="278" t="s">
        <v>111</v>
      </c>
      <c r="E1338" s="294">
        <v>0.209</v>
      </c>
      <c r="F1338" s="1">
        <v>0.092</v>
      </c>
      <c r="G1338" s="101" t="str">
        <f>CONCATENATE(D1338," - ",E1338,", ")</f>
        <v>Misc. copper scrap - 0.209, </v>
      </c>
      <c r="H1338" s="1"/>
      <c r="I1338" s="98"/>
      <c r="J1338" s="98"/>
      <c r="K1338" s="98"/>
      <c r="L1338" s="98"/>
      <c r="M1338" s="98"/>
      <c r="N1338" s="98"/>
      <c r="O1338" s="98"/>
    </row>
    <row r="1339" spans="1:8" ht="15" customHeight="1">
      <c r="A1339" s="1"/>
      <c r="B1339" s="1"/>
      <c r="C1339" s="1"/>
      <c r="D1339" s="1"/>
      <c r="E1339" s="1"/>
      <c r="H1339" s="1"/>
    </row>
    <row r="1340" spans="1:8" ht="15" customHeight="1">
      <c r="A1340" s="332"/>
      <c r="B1340" s="333"/>
      <c r="C1340" s="66"/>
      <c r="D1340" s="66"/>
      <c r="E1340" s="67">
        <f>SUM(E1342:E1342)</f>
        <v>2</v>
      </c>
      <c r="H1340" s="1"/>
    </row>
    <row r="1341" spans="1:18" ht="15" customHeight="1">
      <c r="A1341" s="321" t="s">
        <v>5</v>
      </c>
      <c r="B1341" s="321"/>
      <c r="C1341" s="64" t="s">
        <v>17</v>
      </c>
      <c r="D1341" s="65" t="s">
        <v>18</v>
      </c>
      <c r="E1341" s="64" t="s">
        <v>7</v>
      </c>
      <c r="G1341" s="166" t="str">
        <f>CONCATENATE("Misc. Healthy parts/ Non Ferrous  Scrap, Lying at ",C1342,". Quantity in MT - ")</f>
        <v>Misc. Healthy parts/ Non Ferrous  Scrap, Lying at TRY Malerkotla. Quantity in MT - </v>
      </c>
      <c r="H1341" s="324" t="str">
        <f ca="1">CONCATENATE(G1341,G1342,(INDIRECT(I1342)),(INDIRECT(J1342)),(INDIRECT(K1342)),(INDIRECT(L1342)),(INDIRECT(M1342)),(INDIRECT(N1342)),(INDIRECT(O1342)),(INDIRECT(P1342)),(INDIRECT(Q1342)),(INDIRECT(R1342)),".")</f>
        <v>Misc. Healthy parts/ Non Ferrous  Scrap, Lying at TRY Malerkotla. Quantity in MT - Brass scrap - 2, .</v>
      </c>
      <c r="I1341" s="98" t="str">
        <f aca="true" ca="1" t="array" ref="I1341">CELL("address",INDEX(G1341:G1362,MATCH(TRUE,ISBLANK(G1341:G1362),0)))</f>
        <v>$G$1343</v>
      </c>
      <c r="J1341" s="98">
        <f aca="true" t="array" ref="J1341">MATCH(TRUE,ISBLANK(G1341:G1362),0)</f>
        <v>3</v>
      </c>
      <c r="K1341" s="98">
        <f>J1341-3</f>
        <v>0</v>
      </c>
      <c r="L1341" s="98"/>
      <c r="M1341" s="98"/>
      <c r="N1341" s="98"/>
      <c r="O1341" s="98"/>
      <c r="P1341" s="98"/>
      <c r="Q1341" s="98"/>
      <c r="R1341" s="98"/>
    </row>
    <row r="1342" spans="1:18" ht="15" customHeight="1">
      <c r="A1342" s="321" t="s">
        <v>490</v>
      </c>
      <c r="B1342" s="321"/>
      <c r="C1342" s="296" t="s">
        <v>28</v>
      </c>
      <c r="D1342" s="45" t="s">
        <v>23</v>
      </c>
      <c r="E1342" s="47">
        <v>2</v>
      </c>
      <c r="G1342" s="101" t="str">
        <f>CONCATENATE(D1342," - ",E1342,", ")</f>
        <v>Brass scrap - 2, </v>
      </c>
      <c r="H1342" s="324"/>
      <c r="I1342" s="98" t="str">
        <f ca="1">IF(J1341&gt;=3,(MID(I1341,2,1)&amp;MID(I1341,4,4)-K1341),CELL("address",Z1342))</f>
        <v>G1343</v>
      </c>
      <c r="J1342" s="98" t="str">
        <f ca="1">IF(J1341&gt;=4,(MID(I1342,1,1)&amp;MID(I1342,2,4)+1),CELL("address",AA1342))</f>
        <v>$AA$1342</v>
      </c>
      <c r="K1342" s="98" t="str">
        <f ca="1">IF(J1341&gt;=5,(MID(J1342,1,1)&amp;MID(J1342,2,4)+1),CELL("address",AB1342))</f>
        <v>$AB$1342</v>
      </c>
      <c r="L1342" s="98" t="str">
        <f ca="1">IF(J1341&gt;=6,(MID(K1342,1,1)&amp;MID(K1342,2,4)+1),CELL("address",AC1342))</f>
        <v>$AC$1342</v>
      </c>
      <c r="M1342" s="98" t="str">
        <f ca="1">IF(J1341&gt;=7,(MID(L1342,1,1)&amp;MID(L1342,2,4)+1),CELL("address",AD1342))</f>
        <v>$AD$1342</v>
      </c>
      <c r="N1342" s="98" t="str">
        <f ca="1">IF(J1341&gt;=8,(MID(M1342,1,1)&amp;MID(M1342,2,4)+1),CELL("address",AE1342))</f>
        <v>$AE$1342</v>
      </c>
      <c r="O1342" s="98" t="str">
        <f ca="1">IF(J1341&gt;=9,(MID(N1342,1,1)&amp;MID(N1342,2,4)+1),CELL("address",AF1342))</f>
        <v>$AF$1342</v>
      </c>
      <c r="P1342" s="98" t="str">
        <f ca="1">IF(J1341&gt;=10,(MID(O1342,1,1)&amp;MID(O1342,2,4)+1),CELL("address",AG1342))</f>
        <v>$AG$1342</v>
      </c>
      <c r="Q1342" s="98" t="str">
        <f ca="1">IF(J1341&gt;=11,(MID(P1342,1,1)&amp;MID(P1342,2,4)+1),CELL("address",AH1342))</f>
        <v>$AH$1342</v>
      </c>
      <c r="R1342" s="98" t="str">
        <f ca="1">IF(J1341&gt;=12,(MID(Q1342,1,1)&amp;MID(Q1342,2,4)+1),CELL("address",AI1342))</f>
        <v>$AI$1342</v>
      </c>
    </row>
    <row r="1343" spans="1:15" ht="15" customHeight="1">
      <c r="A1343" s="1"/>
      <c r="B1343" s="1"/>
      <c r="C1343" s="1"/>
      <c r="D1343" s="1"/>
      <c r="E1343" s="1"/>
      <c r="H1343" s="1"/>
      <c r="I1343" s="98"/>
      <c r="J1343" s="98"/>
      <c r="K1343" s="98"/>
      <c r="L1343" s="98"/>
      <c r="M1343" s="98"/>
      <c r="N1343" s="98"/>
      <c r="O1343" s="98"/>
    </row>
    <row r="1344" spans="1:8" ht="15" customHeight="1">
      <c r="A1344" s="332"/>
      <c r="B1344" s="333"/>
      <c r="C1344" s="66"/>
      <c r="D1344" s="66"/>
      <c r="E1344" s="67">
        <f>SUM(E1346:E1348)</f>
        <v>2.169</v>
      </c>
      <c r="H1344" s="1"/>
    </row>
    <row r="1345" spans="1:18" ht="15" customHeight="1">
      <c r="A1345" s="321" t="s">
        <v>5</v>
      </c>
      <c r="B1345" s="321"/>
      <c r="C1345" s="64" t="s">
        <v>17</v>
      </c>
      <c r="D1345" s="65" t="s">
        <v>18</v>
      </c>
      <c r="E1345" s="64" t="s">
        <v>7</v>
      </c>
      <c r="G1345" s="166" t="str">
        <f>CONCATENATE("Misc. Healthy parts/ Non Ferrous  Scrap, Lying at ",C1346,". Quantity in MT - ")</f>
        <v>Misc. Healthy parts/ Non Ferrous  Scrap, Lying at TRY Malout. Quantity in MT - </v>
      </c>
      <c r="H1345" s="324" t="str">
        <f ca="1">CONCATENATE(G1345,G1346,(INDIRECT(I1346)),(INDIRECT(J1346)),(INDIRECT(K1346)),(INDIRECT(L1346)),(INDIRECT(M1346)),(INDIRECT(N1346)),(INDIRECT(O1346)),(INDIRECT(P1346)),(INDIRECT(Q1346)),(INDIRECT(R1346)),".")</f>
        <v>Misc. Healthy parts/ Non Ferrous  Scrap, Lying at TRY Malout. Quantity in MT - Brass scrap - 1.939, Misc. Alumn. Scrap - 0.205, Iron scrap - 0.025, .</v>
      </c>
      <c r="I1345" s="98" t="str">
        <f aca="true" ca="1" t="array" ref="I1345">CELL("address",INDEX(G1345:G1366,MATCH(TRUE,ISBLANK(G1345:G1366),0)))</f>
        <v>$G$1349</v>
      </c>
      <c r="J1345" s="98">
        <f aca="true" t="array" ref="J1345">MATCH(TRUE,ISBLANK(G1345:G1366),0)</f>
        <v>5</v>
      </c>
      <c r="K1345" s="98">
        <f>J1345-3</f>
        <v>2</v>
      </c>
      <c r="L1345" s="98"/>
      <c r="M1345" s="98"/>
      <c r="N1345" s="98"/>
      <c r="O1345" s="98"/>
      <c r="P1345" s="98"/>
      <c r="Q1345" s="98"/>
      <c r="R1345" s="98"/>
    </row>
    <row r="1346" spans="1:18" ht="15" customHeight="1">
      <c r="A1346" s="321" t="s">
        <v>491</v>
      </c>
      <c r="B1346" s="321"/>
      <c r="C1346" s="330" t="s">
        <v>164</v>
      </c>
      <c r="D1346" s="45" t="s">
        <v>23</v>
      </c>
      <c r="E1346" s="47">
        <v>1.939</v>
      </c>
      <c r="G1346" s="101" t="str">
        <f>CONCATENATE(D1346," - ",E1346,", ")</f>
        <v>Brass scrap - 1.939, </v>
      </c>
      <c r="H1346" s="324"/>
      <c r="I1346" s="98" t="str">
        <f ca="1">IF(J1345&gt;=3,(MID(I1345,2,1)&amp;MID(I1345,4,4)-K1345),CELL("address",Z1346))</f>
        <v>G1347</v>
      </c>
      <c r="J1346" s="98" t="str">
        <f ca="1">IF(J1345&gt;=4,(MID(I1346,1,1)&amp;MID(I1346,2,4)+1),CELL("address",AA1346))</f>
        <v>G1348</v>
      </c>
      <c r="K1346" s="98" t="str">
        <f ca="1">IF(J1345&gt;=5,(MID(J1346,1,1)&amp;MID(J1346,2,4)+1),CELL("address",AB1346))</f>
        <v>G1349</v>
      </c>
      <c r="L1346" s="98" t="str">
        <f ca="1">IF(J1345&gt;=6,(MID(K1346,1,1)&amp;MID(K1346,2,4)+1),CELL("address",AC1346))</f>
        <v>$AC$1346</v>
      </c>
      <c r="M1346" s="98" t="str">
        <f ca="1">IF(J1345&gt;=7,(MID(L1346,1,1)&amp;MID(L1346,2,4)+1),CELL("address",AD1346))</f>
        <v>$AD$1346</v>
      </c>
      <c r="N1346" s="98" t="str">
        <f ca="1">IF(J1345&gt;=8,(MID(M1346,1,1)&amp;MID(M1346,2,4)+1),CELL("address",AE1346))</f>
        <v>$AE$1346</v>
      </c>
      <c r="O1346" s="98" t="str">
        <f ca="1">IF(J1345&gt;=9,(MID(N1346,1,1)&amp;MID(N1346,2,4)+1),CELL("address",AF1346))</f>
        <v>$AF$1346</v>
      </c>
      <c r="P1346" s="98" t="str">
        <f ca="1">IF(J1345&gt;=10,(MID(O1346,1,1)&amp;MID(O1346,2,4)+1),CELL("address",AG1346))</f>
        <v>$AG$1346</v>
      </c>
      <c r="Q1346" s="98" t="str">
        <f ca="1">IF(J1345&gt;=11,(MID(P1346,1,1)&amp;MID(P1346,2,4)+1),CELL("address",AH1346))</f>
        <v>$AH$1346</v>
      </c>
      <c r="R1346" s="98" t="str">
        <f ca="1">IF(J1345&gt;=12,(MID(Q1346,1,1)&amp;MID(Q1346,2,4)+1),CELL("address",AI1346))</f>
        <v>$AI$1346</v>
      </c>
    </row>
    <row r="1347" spans="1:15" ht="15" customHeight="1">
      <c r="A1347" s="321"/>
      <c r="B1347" s="321"/>
      <c r="C1347" s="330"/>
      <c r="D1347" s="45" t="s">
        <v>31</v>
      </c>
      <c r="E1347" s="237">
        <v>0.205</v>
      </c>
      <c r="G1347" s="101" t="str">
        <f>CONCATENATE(D1347," - ",E1347,", ")</f>
        <v>Misc. Alumn. Scrap - 0.205, </v>
      </c>
      <c r="H1347" s="1"/>
      <c r="I1347" s="98"/>
      <c r="J1347" s="98"/>
      <c r="K1347" s="98"/>
      <c r="L1347" s="98"/>
      <c r="M1347" s="98"/>
      <c r="N1347" s="98"/>
      <c r="O1347" s="98"/>
    </row>
    <row r="1348" spans="1:8" ht="15" customHeight="1">
      <c r="A1348" s="321"/>
      <c r="B1348" s="321"/>
      <c r="C1348" s="330"/>
      <c r="D1348" s="40" t="s">
        <v>27</v>
      </c>
      <c r="E1348" s="237">
        <v>0.025</v>
      </c>
      <c r="G1348" s="101" t="str">
        <f>CONCATENATE(D1348," - ",E1348,", ")</f>
        <v>Iron scrap - 0.025, </v>
      </c>
      <c r="H1348" s="1"/>
    </row>
    <row r="1349" spans="1:8" ht="15" customHeight="1">
      <c r="A1349" s="1"/>
      <c r="B1349" s="1"/>
      <c r="C1349" s="1"/>
      <c r="D1349" s="1"/>
      <c r="E1349" s="1"/>
      <c r="H1349" s="1"/>
    </row>
    <row r="1350" spans="1:8" ht="15.75" customHeight="1">
      <c r="A1350" s="332"/>
      <c r="B1350" s="333"/>
      <c r="C1350" s="66"/>
      <c r="D1350" s="66"/>
      <c r="E1350" s="67">
        <f>SUM(E1352:E1352)</f>
        <v>0.008</v>
      </c>
      <c r="H1350" s="1"/>
    </row>
    <row r="1351" spans="1:18" ht="15.75" customHeight="1">
      <c r="A1351" s="321" t="s">
        <v>5</v>
      </c>
      <c r="B1351" s="321"/>
      <c r="C1351" s="64" t="s">
        <v>17</v>
      </c>
      <c r="D1351" s="65" t="s">
        <v>18</v>
      </c>
      <c r="E1351" s="64" t="s">
        <v>7</v>
      </c>
      <c r="G1351" s="166" t="str">
        <f>CONCATENATE("Misc. Healthy parts/ Non Ferrous  Scrap, Lying at ",C1352,". Quantity in MT - ")</f>
        <v>Misc. Healthy parts/ Non Ferrous  Scrap, Lying at CS Sangrur. Quantity in MT - </v>
      </c>
      <c r="H1351" s="324" t="str">
        <f ca="1">CONCATENATE(G1351,G1352,(INDIRECT(I1352)),(INDIRECT(J1352)),(INDIRECT(K1352)),(INDIRECT(L1352)),(INDIRECT(M1352)),(INDIRECT(N1352)),(INDIRECT(O1352)),(INDIRECT(P1352)),(INDIRECT(Q1352)),(INDIRECT(R1352)),".")</f>
        <v>Misc. Healthy parts/ Non Ferrous  Scrap, Lying at CS Sangrur. Quantity in MT - Misc. copper scrap - 0.008, .</v>
      </c>
      <c r="I1351" s="98" t="str">
        <f aca="true" ca="1" t="array" ref="I1351">CELL("address",INDEX(G1351:G1372,MATCH(TRUE,ISBLANK(G1351:G1372),0)))</f>
        <v>$G$1353</v>
      </c>
      <c r="J1351" s="98">
        <f aca="true" t="array" ref="J1351">MATCH(TRUE,ISBLANK(G1351:G1372),0)</f>
        <v>3</v>
      </c>
      <c r="K1351" s="98">
        <f>J1351-3</f>
        <v>0</v>
      </c>
      <c r="L1351" s="98"/>
      <c r="M1351" s="98"/>
      <c r="N1351" s="98"/>
      <c r="O1351" s="98"/>
      <c r="P1351" s="98"/>
      <c r="Q1351" s="98"/>
      <c r="R1351" s="98"/>
    </row>
    <row r="1352" spans="1:18" ht="15.75" customHeight="1">
      <c r="A1352" s="321" t="s">
        <v>495</v>
      </c>
      <c r="B1352" s="321"/>
      <c r="C1352" s="296" t="s">
        <v>79</v>
      </c>
      <c r="D1352" s="45" t="s">
        <v>111</v>
      </c>
      <c r="E1352" s="47">
        <v>0.008</v>
      </c>
      <c r="G1352" s="101" t="str">
        <f>CONCATENATE(D1352," - ",E1352,", ")</f>
        <v>Misc. copper scrap - 0.008, </v>
      </c>
      <c r="H1352" s="324"/>
      <c r="I1352" s="98" t="str">
        <f ca="1">IF(J1351&gt;=3,(MID(I1351,2,1)&amp;MID(I1351,4,4)-K1351),CELL("address",Z1352))</f>
        <v>G1353</v>
      </c>
      <c r="J1352" s="98" t="str">
        <f ca="1">IF(J1351&gt;=4,(MID(I1352,1,1)&amp;MID(I1352,2,4)+1),CELL("address",AA1352))</f>
        <v>$AA$1352</v>
      </c>
      <c r="K1352" s="98" t="str">
        <f ca="1">IF(J1351&gt;=5,(MID(J1352,1,1)&amp;MID(J1352,2,4)+1),CELL("address",AB1352))</f>
        <v>$AB$1352</v>
      </c>
      <c r="L1352" s="98" t="str">
        <f ca="1">IF(J1351&gt;=6,(MID(K1352,1,1)&amp;MID(K1352,2,4)+1),CELL("address",AC1352))</f>
        <v>$AC$1352</v>
      </c>
      <c r="M1352" s="98" t="str">
        <f ca="1">IF(J1351&gt;=7,(MID(L1352,1,1)&amp;MID(L1352,2,4)+1),CELL("address",AD1352))</f>
        <v>$AD$1352</v>
      </c>
      <c r="N1352" s="98" t="str">
        <f ca="1">IF(J1351&gt;=8,(MID(M1352,1,1)&amp;MID(M1352,2,4)+1),CELL("address",AE1352))</f>
        <v>$AE$1352</v>
      </c>
      <c r="O1352" s="98" t="str">
        <f ca="1">IF(J1351&gt;=9,(MID(N1352,1,1)&amp;MID(N1352,2,4)+1),CELL("address",AF1352))</f>
        <v>$AF$1352</v>
      </c>
      <c r="P1352" s="98" t="str">
        <f ca="1">IF(J1351&gt;=10,(MID(O1352,1,1)&amp;MID(O1352,2,4)+1),CELL("address",AG1352))</f>
        <v>$AG$1352</v>
      </c>
      <c r="Q1352" s="98" t="str">
        <f ca="1">IF(J1351&gt;=11,(MID(P1352,1,1)&amp;MID(P1352,2,4)+1),CELL("address",AH1352))</f>
        <v>$AH$1352</v>
      </c>
      <c r="R1352" s="98" t="str">
        <f ca="1">IF(J1351&gt;=12,(MID(Q1352,1,1)&amp;MID(Q1352,2,4)+1),CELL("address",AI1352))</f>
        <v>$AI$1352</v>
      </c>
    </row>
    <row r="1353" spans="1:15" ht="15" customHeight="1">
      <c r="A1353" s="1"/>
      <c r="B1353" s="1"/>
      <c r="C1353" s="1"/>
      <c r="D1353" s="1"/>
      <c r="E1353" s="1"/>
      <c r="H1353" s="1"/>
      <c r="I1353" s="98"/>
      <c r="J1353" s="98"/>
      <c r="K1353" s="98"/>
      <c r="L1353" s="98"/>
      <c r="M1353" s="98"/>
      <c r="N1353" s="98"/>
      <c r="O1353" s="98"/>
    </row>
    <row r="1354" spans="1:8" ht="15" customHeight="1">
      <c r="A1354" s="332"/>
      <c r="B1354" s="333"/>
      <c r="C1354" s="66"/>
      <c r="D1354" s="66"/>
      <c r="E1354" s="67">
        <f>SUM(E1356:E1357)</f>
        <v>0.20600000000000002</v>
      </c>
      <c r="H1354" s="1"/>
    </row>
    <row r="1355" spans="1:18" ht="15" customHeight="1">
      <c r="A1355" s="321" t="s">
        <v>5</v>
      </c>
      <c r="B1355" s="321"/>
      <c r="C1355" s="64" t="s">
        <v>17</v>
      </c>
      <c r="D1355" s="65" t="s">
        <v>18</v>
      </c>
      <c r="E1355" s="64" t="s">
        <v>7</v>
      </c>
      <c r="G1355" s="166" t="str">
        <f>CONCATENATE("Misc. Healthy parts/ Non Ferrous  Scrap, Lying at ",C1356,". Quantity in MT - ")</f>
        <v>Misc. Healthy parts/ Non Ferrous  Scrap, Lying at TRY Sangrur. Quantity in MT - </v>
      </c>
      <c r="H1355" s="324" t="str">
        <f ca="1">CONCATENATE(G1355,G1356,(INDIRECT(I1356)),(INDIRECT(J1356)),(INDIRECT(K1356)),(INDIRECT(L1356)),(INDIRECT(M1356)),(INDIRECT(N1356)),(INDIRECT(O1356)),(INDIRECT(P1356)),(INDIRECT(Q1356)),(INDIRECT(R1356)),".")</f>
        <v>Misc. Healthy parts/ Non Ferrous  Scrap, Lying at TRY Sangrur. Quantity in MT - Brass scrap - 0.189, Misc. Alumn. Scrap - 0.017, .</v>
      </c>
      <c r="I1355" s="98" t="str">
        <f aca="true" ca="1" t="array" ref="I1355">CELL("address",INDEX(G1355:G1376,MATCH(TRUE,ISBLANK(G1355:G1376),0)))</f>
        <v>$G$1358</v>
      </c>
      <c r="J1355" s="98">
        <f aca="true" t="array" ref="J1355">MATCH(TRUE,ISBLANK(G1355:G1376),0)</f>
        <v>4</v>
      </c>
      <c r="K1355" s="98">
        <f>J1355-3</f>
        <v>1</v>
      </c>
      <c r="L1355" s="98"/>
      <c r="M1355" s="98"/>
      <c r="N1355" s="98"/>
      <c r="O1355" s="98"/>
      <c r="P1355" s="98"/>
      <c r="Q1355" s="98"/>
      <c r="R1355" s="98"/>
    </row>
    <row r="1356" spans="1:18" ht="15" customHeight="1">
      <c r="A1356" s="321" t="s">
        <v>533</v>
      </c>
      <c r="B1356" s="321"/>
      <c r="C1356" s="330" t="s">
        <v>135</v>
      </c>
      <c r="D1356" s="45" t="s">
        <v>23</v>
      </c>
      <c r="E1356" s="47">
        <v>0.189</v>
      </c>
      <c r="G1356" s="101" t="str">
        <f>CONCATENATE(D1356," - ",E1356,", ")</f>
        <v>Brass scrap - 0.189, </v>
      </c>
      <c r="H1356" s="324"/>
      <c r="I1356" s="98" t="str">
        <f ca="1">IF(J1355&gt;=3,(MID(I1355,2,1)&amp;MID(I1355,4,4)-K1355),CELL("address",Z1356))</f>
        <v>G1357</v>
      </c>
      <c r="J1356" s="98" t="str">
        <f ca="1">IF(J1355&gt;=4,(MID(I1356,1,1)&amp;MID(I1356,2,4)+1),CELL("address",AA1356))</f>
        <v>G1358</v>
      </c>
      <c r="K1356" s="98" t="str">
        <f ca="1">IF(J1355&gt;=5,(MID(J1356,1,1)&amp;MID(J1356,2,4)+1),CELL("address",AB1356))</f>
        <v>$AB$1356</v>
      </c>
      <c r="L1356" s="98" t="str">
        <f ca="1">IF(J1355&gt;=6,(MID(K1356,1,1)&amp;MID(K1356,2,4)+1),CELL("address",AC1356))</f>
        <v>$AC$1356</v>
      </c>
      <c r="M1356" s="98" t="str">
        <f ca="1">IF(J1355&gt;=7,(MID(L1356,1,1)&amp;MID(L1356,2,4)+1),CELL("address",AD1356))</f>
        <v>$AD$1356</v>
      </c>
      <c r="N1356" s="98" t="str">
        <f ca="1">IF(J1355&gt;=8,(MID(M1356,1,1)&amp;MID(M1356,2,4)+1),CELL("address",AE1356))</f>
        <v>$AE$1356</v>
      </c>
      <c r="O1356" s="98" t="str">
        <f ca="1">IF(J1355&gt;=9,(MID(N1356,1,1)&amp;MID(N1356,2,4)+1),CELL("address",AF1356))</f>
        <v>$AF$1356</v>
      </c>
      <c r="P1356" s="98" t="str">
        <f ca="1">IF(J1355&gt;=10,(MID(O1356,1,1)&amp;MID(O1356,2,4)+1),CELL("address",AG1356))</f>
        <v>$AG$1356</v>
      </c>
      <c r="Q1356" s="98" t="str">
        <f ca="1">IF(J1355&gt;=11,(MID(P1356,1,1)&amp;MID(P1356,2,4)+1),CELL("address",AH1356))</f>
        <v>$AH$1356</v>
      </c>
      <c r="R1356" s="98" t="str">
        <f ca="1">IF(J1355&gt;=12,(MID(Q1356,1,1)&amp;MID(Q1356,2,4)+1),CELL("address",AI1356))</f>
        <v>$AI$1356</v>
      </c>
    </row>
    <row r="1357" spans="1:15" ht="15" customHeight="1">
      <c r="A1357" s="321"/>
      <c r="B1357" s="321"/>
      <c r="C1357" s="330"/>
      <c r="D1357" s="45" t="s">
        <v>31</v>
      </c>
      <c r="E1357" s="237">
        <v>0.017</v>
      </c>
      <c r="G1357" s="101" t="str">
        <f>CONCATENATE(D1357," - ",E1357,", ")</f>
        <v>Misc. Alumn. Scrap - 0.017, </v>
      </c>
      <c r="H1357" s="1"/>
      <c r="I1357" s="98"/>
      <c r="J1357" s="98"/>
      <c r="K1357" s="98"/>
      <c r="L1357" s="98"/>
      <c r="M1357" s="98"/>
      <c r="N1357" s="98"/>
      <c r="O1357" s="98"/>
    </row>
    <row r="1358" spans="1:8" ht="15" customHeight="1">
      <c r="A1358" s="1"/>
      <c r="B1358" s="1"/>
      <c r="C1358" s="1"/>
      <c r="D1358" s="1"/>
      <c r="E1358" s="1"/>
      <c r="H1358" s="1"/>
    </row>
    <row r="1359" spans="1:8" ht="15" customHeight="1">
      <c r="A1359" s="332"/>
      <c r="B1359" s="333"/>
      <c r="C1359" s="66"/>
      <c r="D1359" s="66"/>
      <c r="E1359" s="67">
        <f>SUM(E1361:E1363)</f>
        <v>0.20600000000000002</v>
      </c>
      <c r="H1359" s="1"/>
    </row>
    <row r="1360" spans="1:18" ht="15" customHeight="1">
      <c r="A1360" s="321" t="s">
        <v>5</v>
      </c>
      <c r="B1360" s="321"/>
      <c r="C1360" s="64" t="s">
        <v>17</v>
      </c>
      <c r="D1360" s="65" t="s">
        <v>18</v>
      </c>
      <c r="E1360" s="64" t="s">
        <v>7</v>
      </c>
      <c r="G1360" s="166" t="str">
        <f>CONCATENATE("Misc. Healthy parts/ Non Ferrous  Scrap, Lying at ",C1361,". Quantity in MT - ")</f>
        <v>Misc. Healthy parts/ Non Ferrous  Scrap, Lying at TRY Barnala. Quantity in MT - </v>
      </c>
      <c r="H1360" s="324" t="str">
        <f ca="1">CONCATENATE(G1360,G1361,(INDIRECT(I1361)),(INDIRECT(J1361)),(INDIRECT(K1361)),(INDIRECT(L1361)),(INDIRECT(M1361)),(INDIRECT(N1361)),(INDIRECT(O1361)),(INDIRECT(P1361)),(INDIRECT(Q1361)),(INDIRECT(R1361)),".")</f>
        <v>Misc. Healthy parts/ Non Ferrous  Scrap, Lying at TRY Barnala. Quantity in MT - Brass scrap - 0.177, Misc. Alumn. Scrap - 0.012, Iron scrap - 0.017, .</v>
      </c>
      <c r="I1360" s="98" t="str">
        <f aca="true" ca="1" t="array" ref="I1360">CELL("address",INDEX(G1360:G1381,MATCH(TRUE,ISBLANK(G1360:G1381),0)))</f>
        <v>$G$1364</v>
      </c>
      <c r="J1360" s="98">
        <f aca="true" t="array" ref="J1360">MATCH(TRUE,ISBLANK(G1360:G1381),0)</f>
        <v>5</v>
      </c>
      <c r="K1360" s="98">
        <f>J1360-3</f>
        <v>2</v>
      </c>
      <c r="L1360" s="98"/>
      <c r="M1360" s="98"/>
      <c r="N1360" s="98"/>
      <c r="O1360" s="98"/>
      <c r="P1360" s="98"/>
      <c r="Q1360" s="98"/>
      <c r="R1360" s="98"/>
    </row>
    <row r="1361" spans="1:18" ht="15" customHeight="1">
      <c r="A1361" s="321" t="s">
        <v>545</v>
      </c>
      <c r="B1361" s="321"/>
      <c r="C1361" s="330" t="s">
        <v>308</v>
      </c>
      <c r="D1361" s="45" t="s">
        <v>23</v>
      </c>
      <c r="E1361" s="47">
        <v>0.177</v>
      </c>
      <c r="G1361" s="101" t="str">
        <f>CONCATENATE(D1361," - ",E1361,", ")</f>
        <v>Brass scrap - 0.177, </v>
      </c>
      <c r="H1361" s="324"/>
      <c r="I1361" s="98" t="str">
        <f ca="1">IF(J1360&gt;=3,(MID(I1360,2,1)&amp;MID(I1360,4,4)-K1360),CELL("address",Z1361))</f>
        <v>G1362</v>
      </c>
      <c r="J1361" s="98" t="str">
        <f ca="1">IF(J1360&gt;=4,(MID(I1361,1,1)&amp;MID(I1361,2,4)+1),CELL("address",AA1361))</f>
        <v>G1363</v>
      </c>
      <c r="K1361" s="98" t="str">
        <f ca="1">IF(J1360&gt;=5,(MID(J1361,1,1)&amp;MID(J1361,2,4)+1),CELL("address",AB1361))</f>
        <v>G1364</v>
      </c>
      <c r="L1361" s="98" t="str">
        <f ca="1">IF(J1360&gt;=6,(MID(K1361,1,1)&amp;MID(K1361,2,4)+1),CELL("address",AC1361))</f>
        <v>$AC$1361</v>
      </c>
      <c r="M1361" s="98" t="str">
        <f ca="1">IF(J1360&gt;=7,(MID(L1361,1,1)&amp;MID(L1361,2,4)+1),CELL("address",AD1361))</f>
        <v>$AD$1361</v>
      </c>
      <c r="N1361" s="98" t="str">
        <f ca="1">IF(J1360&gt;=8,(MID(M1361,1,1)&amp;MID(M1361,2,4)+1),CELL("address",AE1361))</f>
        <v>$AE$1361</v>
      </c>
      <c r="O1361" s="98" t="str">
        <f ca="1">IF(J1360&gt;=9,(MID(N1361,1,1)&amp;MID(N1361,2,4)+1),CELL("address",AF1361))</f>
        <v>$AF$1361</v>
      </c>
      <c r="P1361" s="98" t="str">
        <f ca="1">IF(J1360&gt;=10,(MID(O1361,1,1)&amp;MID(O1361,2,4)+1),CELL("address",AG1361))</f>
        <v>$AG$1361</v>
      </c>
      <c r="Q1361" s="98" t="str">
        <f ca="1">IF(J1360&gt;=11,(MID(P1361,1,1)&amp;MID(P1361,2,4)+1),CELL("address",AH1361))</f>
        <v>$AH$1361</v>
      </c>
      <c r="R1361" s="98" t="str">
        <f ca="1">IF(J1360&gt;=12,(MID(Q1361,1,1)&amp;MID(Q1361,2,4)+1),CELL("address",AI1361))</f>
        <v>$AI$1361</v>
      </c>
    </row>
    <row r="1362" spans="1:15" ht="15" customHeight="1">
      <c r="A1362" s="321"/>
      <c r="B1362" s="321"/>
      <c r="C1362" s="330"/>
      <c r="D1362" s="45" t="s">
        <v>31</v>
      </c>
      <c r="E1362" s="237">
        <v>0.012</v>
      </c>
      <c r="G1362" s="101" t="str">
        <f>CONCATENATE(D1362," - ",E1362,", ")</f>
        <v>Misc. Alumn. Scrap - 0.012, </v>
      </c>
      <c r="H1362" s="253"/>
      <c r="I1362" s="98"/>
      <c r="J1362" s="98"/>
      <c r="K1362" s="98"/>
      <c r="L1362" s="98"/>
      <c r="M1362" s="98"/>
      <c r="N1362" s="98"/>
      <c r="O1362" s="98"/>
    </row>
    <row r="1363" spans="1:8" ht="15" customHeight="1">
      <c r="A1363" s="321"/>
      <c r="B1363" s="321"/>
      <c r="C1363" s="330"/>
      <c r="D1363" s="40" t="s">
        <v>27</v>
      </c>
      <c r="E1363" s="237">
        <v>0.017</v>
      </c>
      <c r="G1363" s="101" t="str">
        <f>CONCATENATE(D1363," - ",E1363,", ")</f>
        <v>Iron scrap - 0.017, </v>
      </c>
      <c r="H1363" s="253"/>
    </row>
    <row r="1364" spans="1:8" ht="15" customHeight="1">
      <c r="A1364" s="54"/>
      <c r="B1364" s="54"/>
      <c r="C1364" s="19"/>
      <c r="D1364" s="54"/>
      <c r="G1364" s="193"/>
      <c r="H1364" s="253"/>
    </row>
    <row r="1365" spans="1:8" ht="15" customHeight="1">
      <c r="A1365" s="1"/>
      <c r="B1365" s="1"/>
      <c r="C1365" s="1"/>
      <c r="D1365" s="1"/>
      <c r="E1365" s="1"/>
      <c r="G1365" s="253"/>
      <c r="H1365" s="253"/>
    </row>
    <row r="1366" spans="1:8" ht="15" customHeight="1">
      <c r="A1366" s="1"/>
      <c r="B1366" s="1"/>
      <c r="C1366" s="1"/>
      <c r="D1366" s="1"/>
      <c r="E1366" s="1"/>
      <c r="G1366" s="253"/>
      <c r="H1366" s="253"/>
    </row>
    <row r="1367" spans="1:8" ht="15" customHeight="1">
      <c r="A1367" s="1"/>
      <c r="B1367" s="1"/>
      <c r="C1367" s="1"/>
      <c r="D1367" s="1"/>
      <c r="E1367" s="1"/>
      <c r="G1367" s="253"/>
      <c r="H1367" s="253"/>
    </row>
    <row r="1368" spans="1:8" ht="15" customHeight="1">
      <c r="A1368" s="1"/>
      <c r="B1368" s="1"/>
      <c r="C1368" s="1"/>
      <c r="D1368" s="1"/>
      <c r="E1368" s="1"/>
      <c r="G1368" s="253"/>
      <c r="H1368" s="253"/>
    </row>
    <row r="1369" spans="1:8" ht="15" customHeight="1">
      <c r="A1369" s="1"/>
      <c r="B1369" s="1"/>
      <c r="C1369" s="1"/>
      <c r="D1369" s="1"/>
      <c r="E1369" s="1"/>
      <c r="G1369" s="253"/>
      <c r="H1369" s="253"/>
    </row>
    <row r="1370" spans="1:8" ht="15" customHeight="1">
      <c r="A1370" s="1"/>
      <c r="B1370" s="1"/>
      <c r="C1370" s="1"/>
      <c r="D1370" s="1"/>
      <c r="E1370" s="1"/>
      <c r="G1370" s="253"/>
      <c r="H1370" s="253"/>
    </row>
    <row r="1371" spans="1:8" ht="13.5" customHeight="1">
      <c r="A1371" s="1"/>
      <c r="B1371" s="1"/>
      <c r="C1371" s="1"/>
      <c r="D1371" s="1"/>
      <c r="E1371" s="1"/>
      <c r="G1371" s="253"/>
      <c r="H1371" s="253"/>
    </row>
    <row r="1372" spans="1:8" ht="13.5" customHeight="1">
      <c r="A1372" s="1"/>
      <c r="B1372" s="1"/>
      <c r="C1372" s="1"/>
      <c r="D1372" s="1"/>
      <c r="E1372" s="1"/>
      <c r="G1372" s="253"/>
      <c r="H1372" s="253"/>
    </row>
    <row r="1373" spans="1:8" ht="15" customHeight="1">
      <c r="A1373" s="1"/>
      <c r="B1373" s="1"/>
      <c r="C1373" s="1"/>
      <c r="D1373" s="1"/>
      <c r="E1373" s="1"/>
      <c r="G1373" s="253"/>
      <c r="H1373" s="253"/>
    </row>
    <row r="1374" spans="1:8" ht="15" customHeight="1">
      <c r="A1374" s="1"/>
      <c r="B1374" s="1"/>
      <c r="C1374" s="1"/>
      <c r="D1374" s="1"/>
      <c r="E1374" s="1"/>
      <c r="G1374" s="253"/>
      <c r="H1374" s="253"/>
    </row>
    <row r="1375" spans="1:8" ht="15" customHeight="1">
      <c r="A1375" s="1"/>
      <c r="B1375" s="1"/>
      <c r="C1375" s="1"/>
      <c r="D1375" s="1"/>
      <c r="E1375" s="1"/>
      <c r="G1375" s="253"/>
      <c r="H1375" s="253"/>
    </row>
    <row r="1376" spans="1:8" ht="15" customHeight="1">
      <c r="A1376" s="1"/>
      <c r="B1376" s="1"/>
      <c r="C1376" s="1"/>
      <c r="D1376" s="1"/>
      <c r="E1376" s="1"/>
      <c r="G1376" s="253"/>
      <c r="H1376" s="253"/>
    </row>
    <row r="1377" spans="1:8" ht="15" customHeight="1">
      <c r="A1377" s="1"/>
      <c r="B1377" s="1"/>
      <c r="C1377" s="1"/>
      <c r="D1377" s="1"/>
      <c r="E1377" s="1"/>
      <c r="G1377" s="253"/>
      <c r="H1377" s="253"/>
    </row>
    <row r="1378" spans="1:8" ht="16.5" customHeight="1">
      <c r="A1378" s="1"/>
      <c r="B1378" s="1"/>
      <c r="C1378" s="1"/>
      <c r="D1378" s="1"/>
      <c r="E1378" s="1"/>
      <c r="G1378" s="253"/>
      <c r="H1378" s="253"/>
    </row>
    <row r="1379" spans="1:8" ht="16.5" customHeight="1">
      <c r="A1379" s="1"/>
      <c r="B1379" s="1"/>
      <c r="C1379" s="1"/>
      <c r="D1379" s="1"/>
      <c r="E1379" s="1"/>
      <c r="G1379" s="253"/>
      <c r="H1379" s="253"/>
    </row>
    <row r="1380" spans="1:8" ht="16.5" customHeight="1">
      <c r="A1380" s="1"/>
      <c r="B1380" s="1"/>
      <c r="C1380" s="1"/>
      <c r="D1380" s="1"/>
      <c r="E1380" s="1"/>
      <c r="G1380" s="253"/>
      <c r="H1380" s="253"/>
    </row>
    <row r="1381" spans="1:8" ht="16.5" customHeight="1">
      <c r="A1381" s="1"/>
      <c r="B1381" s="1"/>
      <c r="C1381" s="1"/>
      <c r="D1381" s="1"/>
      <c r="E1381" s="1"/>
      <c r="G1381" s="253"/>
      <c r="H1381" s="253"/>
    </row>
    <row r="1382" spans="1:8" ht="16.5" customHeight="1">
      <c r="A1382" s="1"/>
      <c r="B1382" s="1"/>
      <c r="C1382" s="1"/>
      <c r="D1382" s="1"/>
      <c r="E1382" s="1"/>
      <c r="G1382" s="253"/>
      <c r="H1382" s="253"/>
    </row>
    <row r="1383" spans="1:8" ht="16.5" customHeight="1">
      <c r="A1383" s="1"/>
      <c r="B1383" s="1"/>
      <c r="C1383" s="1"/>
      <c r="D1383" s="1"/>
      <c r="E1383" s="1"/>
      <c r="G1383" s="253"/>
      <c r="H1383" s="253"/>
    </row>
    <row r="1384" spans="1:8" ht="16.5" customHeight="1">
      <c r="A1384" s="1"/>
      <c r="B1384" s="1"/>
      <c r="C1384" s="1"/>
      <c r="D1384" s="1"/>
      <c r="E1384" s="1"/>
      <c r="G1384" s="253"/>
      <c r="H1384" s="253"/>
    </row>
    <row r="1385" spans="1:8" ht="15" customHeight="1">
      <c r="A1385" s="1"/>
      <c r="B1385" s="1"/>
      <c r="C1385" s="1"/>
      <c r="D1385" s="1"/>
      <c r="E1385" s="1"/>
      <c r="G1385" s="253"/>
      <c r="H1385" s="253"/>
    </row>
    <row r="1386" spans="1:8" ht="15" customHeight="1">
      <c r="A1386" s="1"/>
      <c r="B1386" s="1"/>
      <c r="C1386" s="1"/>
      <c r="D1386" s="1"/>
      <c r="E1386" s="1"/>
      <c r="G1386" s="253"/>
      <c r="H1386" s="253"/>
    </row>
    <row r="1387" spans="1:8" ht="15" customHeight="1">
      <c r="A1387" s="1"/>
      <c r="B1387" s="1"/>
      <c r="C1387" s="1"/>
      <c r="D1387" s="1"/>
      <c r="E1387" s="1"/>
      <c r="G1387" s="253"/>
      <c r="H1387" s="253"/>
    </row>
    <row r="1388" spans="1:8" ht="14.25" customHeight="1">
      <c r="A1388" s="1"/>
      <c r="B1388" s="1"/>
      <c r="C1388" s="1"/>
      <c r="D1388" s="1"/>
      <c r="E1388" s="1"/>
      <c r="G1388" s="253"/>
      <c r="H1388" s="253"/>
    </row>
    <row r="1389" spans="1:8" ht="14.25" customHeight="1">
      <c r="A1389" s="1"/>
      <c r="B1389" s="1"/>
      <c r="C1389" s="1"/>
      <c r="D1389" s="1"/>
      <c r="E1389" s="1"/>
      <c r="G1389" s="253"/>
      <c r="H1389" s="253"/>
    </row>
    <row r="1390" spans="1:8" ht="14.25" customHeight="1">
      <c r="A1390" s="1"/>
      <c r="B1390" s="1"/>
      <c r="C1390" s="1"/>
      <c r="D1390" s="1"/>
      <c r="E1390" s="1"/>
      <c r="G1390" s="253"/>
      <c r="H1390" s="253"/>
    </row>
    <row r="1391" spans="1:8" ht="14.25" customHeight="1">
      <c r="A1391" s="1"/>
      <c r="B1391" s="1"/>
      <c r="C1391" s="1"/>
      <c r="D1391" s="1"/>
      <c r="E1391" s="1"/>
      <c r="G1391" s="253"/>
      <c r="H1391" s="253"/>
    </row>
    <row r="1392" spans="1:8" ht="14.25" customHeight="1">
      <c r="A1392" s="1"/>
      <c r="B1392" s="1"/>
      <c r="C1392" s="1"/>
      <c r="D1392" s="1"/>
      <c r="E1392" s="1"/>
      <c r="G1392" s="253"/>
      <c r="H1392" s="253"/>
    </row>
    <row r="1393" spans="1:8" ht="14.25" customHeight="1">
      <c r="A1393" s="1"/>
      <c r="B1393" s="1"/>
      <c r="C1393" s="1"/>
      <c r="D1393" s="1"/>
      <c r="E1393" s="1"/>
      <c r="G1393" s="253"/>
      <c r="H1393" s="253"/>
    </row>
    <row r="1394" spans="1:8" ht="14.25" customHeight="1">
      <c r="A1394" s="1"/>
      <c r="B1394" s="1"/>
      <c r="C1394" s="1"/>
      <c r="D1394" s="1"/>
      <c r="E1394" s="1"/>
      <c r="G1394" s="253"/>
      <c r="H1394" s="253"/>
    </row>
    <row r="1395" spans="1:8" ht="14.25" customHeight="1">
      <c r="A1395" s="1"/>
      <c r="B1395" s="1"/>
      <c r="C1395" s="1"/>
      <c r="D1395" s="1"/>
      <c r="E1395" s="1"/>
      <c r="G1395" s="253"/>
      <c r="H1395" s="253"/>
    </row>
    <row r="1396" spans="1:8" ht="14.25" customHeight="1">
      <c r="A1396" s="1"/>
      <c r="B1396" s="1"/>
      <c r="C1396" s="1"/>
      <c r="D1396" s="1"/>
      <c r="E1396" s="1"/>
      <c r="G1396" s="253"/>
      <c r="H1396" s="253"/>
    </row>
    <row r="1397" spans="1:8" ht="14.25" customHeight="1">
      <c r="A1397" s="1"/>
      <c r="B1397" s="1"/>
      <c r="C1397" s="1"/>
      <c r="D1397" s="1"/>
      <c r="E1397" s="1"/>
      <c r="G1397" s="253"/>
      <c r="H1397" s="253"/>
    </row>
    <row r="1398" spans="1:8" ht="14.25" customHeight="1">
      <c r="A1398" s="1"/>
      <c r="B1398" s="1"/>
      <c r="C1398" s="1"/>
      <c r="D1398" s="1"/>
      <c r="E1398" s="1"/>
      <c r="G1398" s="253"/>
      <c r="H1398" s="253"/>
    </row>
    <row r="1399" spans="1:8" ht="14.25" customHeight="1">
      <c r="A1399" s="1"/>
      <c r="B1399" s="1"/>
      <c r="C1399" s="1"/>
      <c r="D1399" s="1"/>
      <c r="E1399" s="1"/>
      <c r="G1399" s="253"/>
      <c r="H1399" s="253"/>
    </row>
    <row r="1400" spans="1:8" ht="14.25" customHeight="1">
      <c r="A1400" s="1"/>
      <c r="B1400" s="1"/>
      <c r="C1400" s="1"/>
      <c r="D1400" s="1"/>
      <c r="E1400" s="1"/>
      <c r="G1400" s="253"/>
      <c r="H1400" s="253"/>
    </row>
    <row r="1401" spans="1:8" ht="14.25" customHeight="1">
      <c r="A1401" s="1"/>
      <c r="B1401" s="1"/>
      <c r="C1401" s="1"/>
      <c r="D1401" s="1"/>
      <c r="E1401" s="1"/>
      <c r="G1401" s="253"/>
      <c r="H1401" s="253"/>
    </row>
    <row r="1402" spans="1:8" ht="14.25" customHeight="1">
      <c r="A1402" s="1"/>
      <c r="B1402" s="1"/>
      <c r="C1402" s="1"/>
      <c r="D1402" s="1"/>
      <c r="E1402" s="1"/>
      <c r="G1402" s="253"/>
      <c r="H1402" s="253"/>
    </row>
    <row r="1403" spans="1:8" ht="14.25" customHeight="1">
      <c r="A1403" s="1"/>
      <c r="B1403" s="1"/>
      <c r="C1403" s="1"/>
      <c r="D1403" s="1"/>
      <c r="E1403" s="1"/>
      <c r="G1403" s="253"/>
      <c r="H1403" s="253"/>
    </row>
    <row r="1404" spans="1:8" ht="14.25" customHeight="1">
      <c r="A1404" s="1"/>
      <c r="B1404" s="1"/>
      <c r="C1404" s="1"/>
      <c r="D1404" s="1"/>
      <c r="E1404" s="1"/>
      <c r="G1404" s="253"/>
      <c r="H1404" s="253"/>
    </row>
    <row r="1405" spans="1:8" ht="14.25" customHeight="1">
      <c r="A1405" s="1"/>
      <c r="B1405" s="1"/>
      <c r="C1405" s="1"/>
      <c r="D1405" s="1"/>
      <c r="E1405" s="1"/>
      <c r="G1405" s="253"/>
      <c r="H1405" s="253"/>
    </row>
    <row r="1406" spans="1:8" ht="14.25" customHeight="1">
      <c r="A1406" s="1"/>
      <c r="B1406" s="1"/>
      <c r="C1406" s="1"/>
      <c r="D1406" s="1"/>
      <c r="E1406" s="1"/>
      <c r="G1406" s="253"/>
      <c r="H1406" s="253"/>
    </row>
    <row r="1407" spans="1:8" ht="14.25" customHeight="1">
      <c r="A1407" s="1"/>
      <c r="B1407" s="1"/>
      <c r="C1407" s="1"/>
      <c r="D1407" s="1"/>
      <c r="E1407" s="1"/>
      <c r="G1407" s="253"/>
      <c r="H1407" s="253"/>
    </row>
    <row r="1408" spans="1:8" ht="14.25" customHeight="1">
      <c r="A1408" s="1"/>
      <c r="B1408" s="1"/>
      <c r="C1408" s="1"/>
      <c r="D1408" s="1"/>
      <c r="E1408" s="1"/>
      <c r="G1408" s="253"/>
      <c r="H1408" s="253"/>
    </row>
    <row r="1409" spans="1:8" ht="14.25" customHeight="1">
      <c r="A1409" s="1"/>
      <c r="B1409" s="1"/>
      <c r="C1409" s="1"/>
      <c r="D1409" s="1"/>
      <c r="E1409" s="1"/>
      <c r="G1409" s="253"/>
      <c r="H1409" s="253"/>
    </row>
    <row r="1410" spans="1:8" ht="14.25" customHeight="1">
      <c r="A1410" s="1"/>
      <c r="B1410" s="1"/>
      <c r="C1410" s="1"/>
      <c r="D1410" s="1"/>
      <c r="E1410" s="1"/>
      <c r="G1410" s="253"/>
      <c r="H1410" s="253"/>
    </row>
    <row r="1411" spans="1:8" ht="14.25" customHeight="1">
      <c r="A1411" s="1"/>
      <c r="B1411" s="1"/>
      <c r="C1411" s="1"/>
      <c r="D1411" s="1"/>
      <c r="E1411" s="1"/>
      <c r="G1411" s="253"/>
      <c r="H1411" s="253"/>
    </row>
    <row r="1412" spans="1:8" ht="14.25" customHeight="1">
      <c r="A1412" s="1"/>
      <c r="B1412" s="1"/>
      <c r="C1412" s="1"/>
      <c r="D1412" s="1"/>
      <c r="E1412" s="1"/>
      <c r="G1412" s="253"/>
      <c r="H1412" s="253"/>
    </row>
    <row r="1413" spans="1:8" ht="14.25" customHeight="1">
      <c r="A1413" s="1"/>
      <c r="B1413" s="1"/>
      <c r="C1413" s="1"/>
      <c r="D1413" s="1"/>
      <c r="E1413" s="1"/>
      <c r="G1413" s="253"/>
      <c r="H1413" s="253"/>
    </row>
    <row r="1414" spans="1:8" ht="14.25" customHeight="1">
      <c r="A1414" s="1"/>
      <c r="B1414" s="1"/>
      <c r="C1414" s="1"/>
      <c r="D1414" s="1"/>
      <c r="E1414" s="1"/>
      <c r="G1414" s="253"/>
      <c r="H1414" s="253"/>
    </row>
    <row r="1415" spans="1:8" ht="14.25" customHeight="1">
      <c r="A1415" s="1"/>
      <c r="B1415" s="1"/>
      <c r="C1415" s="1"/>
      <c r="D1415" s="1"/>
      <c r="E1415" s="1"/>
      <c r="G1415" s="253"/>
      <c r="H1415" s="253"/>
    </row>
    <row r="1416" spans="1:8" ht="14.25" customHeight="1">
      <c r="A1416" s="1"/>
      <c r="B1416" s="1"/>
      <c r="C1416" s="1"/>
      <c r="D1416" s="1"/>
      <c r="E1416" s="1"/>
      <c r="G1416" s="253"/>
      <c r="H1416" s="253"/>
    </row>
    <row r="1417" spans="1:8" ht="14.25" customHeight="1">
      <c r="A1417" s="1"/>
      <c r="B1417" s="1"/>
      <c r="C1417" s="1"/>
      <c r="D1417" s="1"/>
      <c r="E1417" s="1"/>
      <c r="G1417" s="253"/>
      <c r="H1417" s="253"/>
    </row>
    <row r="1418" spans="1:8" ht="14.25" customHeight="1">
      <c r="A1418" s="1"/>
      <c r="B1418" s="1"/>
      <c r="C1418" s="1"/>
      <c r="D1418" s="1"/>
      <c r="E1418" s="1"/>
      <c r="G1418" s="253"/>
      <c r="H1418" s="253"/>
    </row>
    <row r="1419" spans="1:8" ht="14.25" customHeight="1">
      <c r="A1419" s="1"/>
      <c r="B1419" s="1"/>
      <c r="C1419" s="1"/>
      <c r="D1419" s="1"/>
      <c r="E1419" s="1"/>
      <c r="G1419" s="253"/>
      <c r="H1419" s="253"/>
    </row>
    <row r="1420" spans="1:8" ht="14.25" customHeight="1">
      <c r="A1420" s="1"/>
      <c r="B1420" s="1"/>
      <c r="C1420" s="1"/>
      <c r="D1420" s="1"/>
      <c r="E1420" s="1"/>
      <c r="G1420" s="253"/>
      <c r="H1420" s="253"/>
    </row>
    <row r="1421" spans="1:8" ht="14.25" customHeight="1">
      <c r="A1421" s="1"/>
      <c r="B1421" s="1"/>
      <c r="C1421" s="1"/>
      <c r="D1421" s="1"/>
      <c r="E1421" s="1"/>
      <c r="G1421" s="253"/>
      <c r="H1421" s="253"/>
    </row>
    <row r="1422" spans="1:8" ht="14.25" customHeight="1">
      <c r="A1422" s="1"/>
      <c r="B1422" s="1"/>
      <c r="C1422" s="1"/>
      <c r="D1422" s="1"/>
      <c r="E1422" s="1"/>
      <c r="G1422" s="253"/>
      <c r="H1422" s="253"/>
    </row>
    <row r="1423" spans="1:8" ht="14.25" customHeight="1">
      <c r="A1423" s="1"/>
      <c r="B1423" s="1"/>
      <c r="C1423" s="1"/>
      <c r="D1423" s="1"/>
      <c r="E1423" s="1"/>
      <c r="G1423" s="253"/>
      <c r="H1423" s="253"/>
    </row>
    <row r="1424" spans="1:8" ht="14.25" customHeight="1">
      <c r="A1424" s="1"/>
      <c r="B1424" s="1"/>
      <c r="C1424" s="1"/>
      <c r="D1424" s="1"/>
      <c r="E1424" s="1"/>
      <c r="G1424" s="253"/>
      <c r="H1424" s="253"/>
    </row>
    <row r="1425" spans="1:8" ht="14.25" customHeight="1">
      <c r="A1425" s="1"/>
      <c r="B1425" s="1"/>
      <c r="C1425" s="1"/>
      <c r="D1425" s="1"/>
      <c r="E1425" s="1"/>
      <c r="G1425" s="253"/>
      <c r="H1425" s="253"/>
    </row>
    <row r="1426" spans="1:8" ht="14.25" customHeight="1">
      <c r="A1426" s="1"/>
      <c r="B1426" s="1"/>
      <c r="C1426" s="1"/>
      <c r="D1426" s="1"/>
      <c r="E1426" s="1"/>
      <c r="G1426" s="253"/>
      <c r="H1426" s="253"/>
    </row>
    <row r="1427" spans="1:8" ht="14.25" customHeight="1">
      <c r="A1427" s="1"/>
      <c r="B1427" s="1"/>
      <c r="C1427" s="1"/>
      <c r="D1427" s="1"/>
      <c r="E1427" s="1"/>
      <c r="G1427" s="253"/>
      <c r="H1427" s="253"/>
    </row>
    <row r="1428" spans="1:8" ht="14.25" customHeight="1">
      <c r="A1428" s="1"/>
      <c r="B1428" s="1"/>
      <c r="C1428" s="1"/>
      <c r="D1428" s="1"/>
      <c r="E1428" s="1"/>
      <c r="G1428" s="253"/>
      <c r="H1428" s="253"/>
    </row>
    <row r="1429" spans="1:8" ht="14.25" customHeight="1">
      <c r="A1429" s="1"/>
      <c r="B1429" s="1"/>
      <c r="C1429" s="1"/>
      <c r="D1429" s="1"/>
      <c r="E1429" s="1"/>
      <c r="G1429" s="253"/>
      <c r="H1429" s="253"/>
    </row>
    <row r="1430" spans="1:8" ht="14.25" customHeight="1">
      <c r="A1430" s="1"/>
      <c r="B1430" s="1"/>
      <c r="C1430" s="1"/>
      <c r="D1430" s="1"/>
      <c r="E1430" s="1"/>
      <c r="G1430" s="253"/>
      <c r="H1430" s="253"/>
    </row>
    <row r="1431" spans="1:8" ht="14.25" customHeight="1">
      <c r="A1431" s="1"/>
      <c r="B1431" s="1"/>
      <c r="C1431" s="1"/>
      <c r="D1431" s="1"/>
      <c r="E1431" s="1"/>
      <c r="G1431" s="253"/>
      <c r="H1431" s="253"/>
    </row>
    <row r="1432" spans="1:8" ht="14.25" customHeight="1">
      <c r="A1432" s="1"/>
      <c r="B1432" s="1"/>
      <c r="C1432" s="1"/>
      <c r="D1432" s="1"/>
      <c r="E1432" s="1"/>
      <c r="G1432" s="253"/>
      <c r="H1432" s="253"/>
    </row>
    <row r="1433" spans="1:8" ht="14.25" customHeight="1">
      <c r="A1433" s="1"/>
      <c r="B1433" s="1"/>
      <c r="C1433" s="1"/>
      <c r="D1433" s="1"/>
      <c r="E1433" s="1"/>
      <c r="G1433" s="253"/>
      <c r="H1433" s="253"/>
    </row>
    <row r="1434" spans="1:8" ht="14.25" customHeight="1">
      <c r="A1434" s="1"/>
      <c r="B1434" s="1"/>
      <c r="C1434" s="1"/>
      <c r="D1434" s="1"/>
      <c r="E1434" s="1"/>
      <c r="G1434" s="253"/>
      <c r="H1434" s="253"/>
    </row>
    <row r="1435" spans="1:8" ht="14.25" customHeight="1">
      <c r="A1435" s="1"/>
      <c r="B1435" s="1"/>
      <c r="C1435" s="1"/>
      <c r="D1435" s="1"/>
      <c r="E1435" s="1"/>
      <c r="G1435" s="253"/>
      <c r="H1435" s="253"/>
    </row>
    <row r="1436" spans="1:8" ht="14.25" customHeight="1">
      <c r="A1436" s="1"/>
      <c r="B1436" s="1"/>
      <c r="C1436" s="1"/>
      <c r="D1436" s="1"/>
      <c r="E1436" s="1"/>
      <c r="G1436" s="253"/>
      <c r="H1436" s="253"/>
    </row>
    <row r="1437" spans="1:8" ht="14.25" customHeight="1">
      <c r="A1437" s="1"/>
      <c r="B1437" s="1"/>
      <c r="C1437" s="1"/>
      <c r="D1437" s="1"/>
      <c r="E1437" s="1"/>
      <c r="G1437" s="253"/>
      <c r="H1437" s="253"/>
    </row>
    <row r="1438" spans="1:8" ht="14.25" customHeight="1">
      <c r="A1438" s="1"/>
      <c r="B1438" s="1"/>
      <c r="C1438" s="1"/>
      <c r="D1438" s="1"/>
      <c r="E1438" s="1"/>
      <c r="G1438" s="253"/>
      <c r="H1438" s="253"/>
    </row>
    <row r="1439" spans="1:8" ht="14.25" customHeight="1">
      <c r="A1439" s="1"/>
      <c r="B1439" s="1"/>
      <c r="C1439" s="1"/>
      <c r="D1439" s="1"/>
      <c r="E1439" s="1"/>
      <c r="G1439" s="253"/>
      <c r="H1439" s="253"/>
    </row>
    <row r="1440" spans="1:8" ht="14.25" customHeight="1">
      <c r="A1440" s="1"/>
      <c r="B1440" s="1"/>
      <c r="C1440" s="1"/>
      <c r="D1440" s="1"/>
      <c r="E1440" s="1"/>
      <c r="G1440" s="253"/>
      <c r="H1440" s="253"/>
    </row>
    <row r="1441" spans="1:8" ht="14.25" customHeight="1">
      <c r="A1441" s="1"/>
      <c r="B1441" s="1"/>
      <c r="C1441" s="1"/>
      <c r="D1441" s="1"/>
      <c r="E1441" s="1"/>
      <c r="G1441" s="253"/>
      <c r="H1441" s="253"/>
    </row>
    <row r="1442" spans="1:8" ht="14.25" customHeight="1">
      <c r="A1442" s="1"/>
      <c r="B1442" s="1"/>
      <c r="C1442" s="1"/>
      <c r="D1442" s="1"/>
      <c r="E1442" s="1"/>
      <c r="G1442" s="253"/>
      <c r="H1442" s="253"/>
    </row>
    <row r="1443" spans="1:8" ht="14.25" customHeight="1">
      <c r="A1443" s="1"/>
      <c r="B1443" s="1"/>
      <c r="C1443" s="1"/>
      <c r="D1443" s="1"/>
      <c r="E1443" s="1"/>
      <c r="G1443" s="253"/>
      <c r="H1443" s="253"/>
    </row>
    <row r="1444" spans="1:8" ht="14.25" customHeight="1">
      <c r="A1444" s="1"/>
      <c r="B1444" s="1"/>
      <c r="C1444" s="1"/>
      <c r="D1444" s="1"/>
      <c r="E1444" s="1"/>
      <c r="G1444" s="253"/>
      <c r="H1444" s="253"/>
    </row>
    <row r="1445" spans="1:8" ht="14.25" customHeight="1">
      <c r="A1445" s="1"/>
      <c r="B1445" s="1"/>
      <c r="C1445" s="1"/>
      <c r="D1445" s="1"/>
      <c r="E1445" s="1"/>
      <c r="G1445" s="253"/>
      <c r="H1445" s="253"/>
    </row>
    <row r="1446" spans="7:8" ht="14.25" customHeight="1">
      <c r="G1446" s="253"/>
      <c r="H1446" s="253"/>
    </row>
    <row r="1447" ht="14.25" customHeight="1"/>
    <row r="1448" ht="14.25" customHeight="1"/>
    <row r="1449" ht="14.25" customHeight="1"/>
    <row r="1450" ht="19.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</sheetData>
  <sheetProtection/>
  <mergeCells count="692">
    <mergeCell ref="A1101:B1101"/>
    <mergeCell ref="C56:D56"/>
    <mergeCell ref="A56:B56"/>
    <mergeCell ref="A680:E680"/>
    <mergeCell ref="A682:C682"/>
    <mergeCell ref="A687:C687"/>
    <mergeCell ref="C913:C917"/>
    <mergeCell ref="A913:B917"/>
    <mergeCell ref="A64:C64"/>
    <mergeCell ref="A928:B928"/>
    <mergeCell ref="C1304:C1305"/>
    <mergeCell ref="H1345:H1346"/>
    <mergeCell ref="H1351:H1352"/>
    <mergeCell ref="C1361:C1363"/>
    <mergeCell ref="A1361:B1363"/>
    <mergeCell ref="H1355:H1356"/>
    <mergeCell ref="H1360:H1361"/>
    <mergeCell ref="A1307:B1307"/>
    <mergeCell ref="A1326:B1328"/>
    <mergeCell ref="A1345:B1345"/>
    <mergeCell ref="C1346:C1348"/>
    <mergeCell ref="A1346:B1348"/>
    <mergeCell ref="A921:B924"/>
    <mergeCell ref="A925:B925"/>
    <mergeCell ref="A1302:B1302"/>
    <mergeCell ref="A1304:B1305"/>
    <mergeCell ref="A1144:E1144"/>
    <mergeCell ref="C1326:C1328"/>
    <mergeCell ref="A1344:B1344"/>
    <mergeCell ref="C1226:C1230"/>
    <mergeCell ref="C1277:C1280"/>
    <mergeCell ref="A1093:B1093"/>
    <mergeCell ref="A1059:B1059"/>
    <mergeCell ref="C1157:C1162"/>
    <mergeCell ref="C1166:C1170"/>
    <mergeCell ref="A1276:B1276"/>
    <mergeCell ref="A1099:B1099"/>
    <mergeCell ref="A1274:B1274"/>
    <mergeCell ref="A1094:B1094"/>
    <mergeCell ref="A1090:B1090"/>
    <mergeCell ref="H1054:H1055"/>
    <mergeCell ref="A1314:B1314"/>
    <mergeCell ref="A463:E463"/>
    <mergeCell ref="A586:C586"/>
    <mergeCell ref="A465:C465"/>
    <mergeCell ref="A470:C470"/>
    <mergeCell ref="A1303:B1303"/>
    <mergeCell ref="C1082:D1082"/>
    <mergeCell ref="A562:C562"/>
    <mergeCell ref="A603:C603"/>
    <mergeCell ref="B888:C888"/>
    <mergeCell ref="A1295:B1295"/>
    <mergeCell ref="A1294:B1294"/>
    <mergeCell ref="A491:C491"/>
    <mergeCell ref="A1277:B1280"/>
    <mergeCell ref="A513:C513"/>
    <mergeCell ref="B844:C847"/>
    <mergeCell ref="A536:C536"/>
    <mergeCell ref="A524:C524"/>
    <mergeCell ref="A1172:B1172"/>
    <mergeCell ref="A591:C591"/>
    <mergeCell ref="B850:C850"/>
    <mergeCell ref="A222:E222"/>
    <mergeCell ref="A1203:B1203"/>
    <mergeCell ref="A1102:B1102"/>
    <mergeCell ref="A1233:B1233"/>
    <mergeCell ref="A458:C458"/>
    <mergeCell ref="A997:B997"/>
    <mergeCell ref="A560:E560"/>
    <mergeCell ref="A267:E267"/>
    <mergeCell ref="A1082:B1082"/>
    <mergeCell ref="A675:C675"/>
    <mergeCell ref="B889:C889"/>
    <mergeCell ref="A948:B948"/>
    <mergeCell ref="A903:B903"/>
    <mergeCell ref="B875:C878"/>
    <mergeCell ref="A1068:B1069"/>
    <mergeCell ref="B792:C792"/>
    <mergeCell ref="A829:A833"/>
    <mergeCell ref="B806:C806"/>
    <mergeCell ref="A435:C435"/>
    <mergeCell ref="A262:C262"/>
    <mergeCell ref="A114:C114"/>
    <mergeCell ref="A574:C574"/>
    <mergeCell ref="A494:C494"/>
    <mergeCell ref="A555:C555"/>
    <mergeCell ref="A566:C566"/>
    <mergeCell ref="A415:C415"/>
    <mergeCell ref="A484:C484"/>
    <mergeCell ref="A661:E661"/>
    <mergeCell ref="A581:C581"/>
    <mergeCell ref="A1292:B1292"/>
    <mergeCell ref="A957:B957"/>
    <mergeCell ref="A960:B960"/>
    <mergeCell ref="B1126:C1126"/>
    <mergeCell ref="B1129:C1129"/>
    <mergeCell ref="A1268:B1268"/>
    <mergeCell ref="A1242:B1242"/>
    <mergeCell ref="C1234:C1235"/>
    <mergeCell ref="C1244:C1249"/>
    <mergeCell ref="A920:B920"/>
    <mergeCell ref="C894:C895"/>
    <mergeCell ref="A894:B895"/>
    <mergeCell ref="C1098:D1098"/>
    <mergeCell ref="A1157:B1162"/>
    <mergeCell ref="A1205:B1212"/>
    <mergeCell ref="A1164:B1164"/>
    <mergeCell ref="A1165:B1165"/>
    <mergeCell ref="C1101:D1101"/>
    <mergeCell ref="A1100:B1100"/>
    <mergeCell ref="A1095:B1095"/>
    <mergeCell ref="H1034:H1035"/>
    <mergeCell ref="A1136:E1136"/>
    <mergeCell ref="A898:B898"/>
    <mergeCell ref="A904:B904"/>
    <mergeCell ref="A962:B962"/>
    <mergeCell ref="H920:H921"/>
    <mergeCell ref="C1015:C1018"/>
    <mergeCell ref="A963:B967"/>
    <mergeCell ref="A1085:B1085"/>
    <mergeCell ref="A1014:B1014"/>
    <mergeCell ref="A1034:B1034"/>
    <mergeCell ref="A851:A856"/>
    <mergeCell ref="C958:C959"/>
    <mergeCell ref="B851:C856"/>
    <mergeCell ref="C1043:C1047"/>
    <mergeCell ref="A1043:B1047"/>
    <mergeCell ref="A958:B959"/>
    <mergeCell ref="A919:B919"/>
    <mergeCell ref="B829:C833"/>
    <mergeCell ref="B764:C767"/>
    <mergeCell ref="C1284:C1288"/>
    <mergeCell ref="B815:C815"/>
    <mergeCell ref="C1094:D1094"/>
    <mergeCell ref="B874:C874"/>
    <mergeCell ref="C1100:D1100"/>
    <mergeCell ref="A1106:E1106"/>
    <mergeCell ref="B1131:C1131"/>
    <mergeCell ref="C1216:C1217"/>
    <mergeCell ref="A522:E522"/>
    <mergeCell ref="A527:C527"/>
    <mergeCell ref="A139:E139"/>
    <mergeCell ref="A344:E344"/>
    <mergeCell ref="A507:E507"/>
    <mergeCell ref="A509:C509"/>
    <mergeCell ref="A413:E413"/>
    <mergeCell ref="A489:E489"/>
    <mergeCell ref="A227:C227"/>
    <mergeCell ref="A141:C141"/>
    <mergeCell ref="H1021:H1022"/>
    <mergeCell ref="H953:H954"/>
    <mergeCell ref="H941:H942"/>
    <mergeCell ref="H948:H949"/>
    <mergeCell ref="A931:B931"/>
    <mergeCell ref="A985:B985"/>
    <mergeCell ref="A961:B961"/>
    <mergeCell ref="C978:C982"/>
    <mergeCell ref="H977:H978"/>
    <mergeCell ref="C1006:C1011"/>
    <mergeCell ref="Q914:U915"/>
    <mergeCell ref="A999:B1002"/>
    <mergeCell ref="A953:B953"/>
    <mergeCell ref="A978:B982"/>
    <mergeCell ref="A949:B950"/>
    <mergeCell ref="C986:C995"/>
    <mergeCell ref="C921:C924"/>
    <mergeCell ref="H962:H963"/>
    <mergeCell ref="C942:C945"/>
    <mergeCell ref="A942:B945"/>
    <mergeCell ref="A1035:B1039"/>
    <mergeCell ref="A1027:B1027"/>
    <mergeCell ref="A1042:B1042"/>
    <mergeCell ref="A977:B977"/>
    <mergeCell ref="A1015:B1018"/>
    <mergeCell ref="A998:B998"/>
    <mergeCell ref="A1006:B1011"/>
    <mergeCell ref="A1028:B1031"/>
    <mergeCell ref="C1099:D1099"/>
    <mergeCell ref="C1083:D1083"/>
    <mergeCell ref="C1068:C1069"/>
    <mergeCell ref="C1092:D1092"/>
    <mergeCell ref="C1093:D1093"/>
    <mergeCell ref="A1067:B1067"/>
    <mergeCell ref="C1086:D1086"/>
    <mergeCell ref="C1087:D1087"/>
    <mergeCell ref="C1091:D1091"/>
    <mergeCell ref="C1097:D1097"/>
    <mergeCell ref="Q1147:T1147"/>
    <mergeCell ref="H957:H958"/>
    <mergeCell ref="H970:H971"/>
    <mergeCell ref="C999:C1002"/>
    <mergeCell ref="B1122:C1122"/>
    <mergeCell ref="B1120:C1120"/>
    <mergeCell ref="B1128:C1128"/>
    <mergeCell ref="A1145:E1145"/>
    <mergeCell ref="A1060:B1060"/>
    <mergeCell ref="H1042:H1043"/>
    <mergeCell ref="C1150:C1153"/>
    <mergeCell ref="A1150:B1153"/>
    <mergeCell ref="A1173:B1173"/>
    <mergeCell ref="A1184:B1184"/>
    <mergeCell ref="A1156:B1156"/>
    <mergeCell ref="A1154:B1154"/>
    <mergeCell ref="A1155:B1155"/>
    <mergeCell ref="A1166:B1170"/>
    <mergeCell ref="B1123:C1123"/>
    <mergeCell ref="B1113:C1113"/>
    <mergeCell ref="A1134:E1134"/>
    <mergeCell ref="B1114:C1114"/>
    <mergeCell ref="B1132:C1132"/>
    <mergeCell ref="A1083:B1083"/>
    <mergeCell ref="B1111:C1111"/>
    <mergeCell ref="B1117:C1117"/>
    <mergeCell ref="B1110:C1110"/>
    <mergeCell ref="B1116:C1116"/>
    <mergeCell ref="B1108:C1108"/>
    <mergeCell ref="A1081:E1081"/>
    <mergeCell ref="A1092:B1092"/>
    <mergeCell ref="A1054:B1054"/>
    <mergeCell ref="A1097:B1097"/>
    <mergeCell ref="C1089:D1089"/>
    <mergeCell ref="A1086:B1086"/>
    <mergeCell ref="A1087:B1087"/>
    <mergeCell ref="A1063:B1063"/>
    <mergeCell ref="C1096:D1096"/>
    <mergeCell ref="C1090:D1090"/>
    <mergeCell ref="A58:E58"/>
    <mergeCell ref="A1021:B1021"/>
    <mergeCell ref="C971:C974"/>
    <mergeCell ref="A971:B974"/>
    <mergeCell ref="C1022:C1024"/>
    <mergeCell ref="A79:E79"/>
    <mergeCell ref="A59:E59"/>
    <mergeCell ref="A67:C67"/>
    <mergeCell ref="A95:C95"/>
    <mergeCell ref="A57:B57"/>
    <mergeCell ref="C55:D55"/>
    <mergeCell ref="A52:B52"/>
    <mergeCell ref="C52:D52"/>
    <mergeCell ref="A55:B55"/>
    <mergeCell ref="B1119:C1119"/>
    <mergeCell ref="C1088:D1088"/>
    <mergeCell ref="C1084:D1084"/>
    <mergeCell ref="A1084:B1084"/>
    <mergeCell ref="A1088:B1088"/>
    <mergeCell ref="A53:B53"/>
    <mergeCell ref="C42:D42"/>
    <mergeCell ref="A44:B44"/>
    <mergeCell ref="A42:B42"/>
    <mergeCell ref="C41:D41"/>
    <mergeCell ref="A1138:E1138"/>
    <mergeCell ref="A1098:B1098"/>
    <mergeCell ref="C1085:D1085"/>
    <mergeCell ref="A48:B48"/>
    <mergeCell ref="A41:B41"/>
    <mergeCell ref="A7:B7"/>
    <mergeCell ref="C7:D7"/>
    <mergeCell ref="C47:D47"/>
    <mergeCell ref="A46:B46"/>
    <mergeCell ref="A47:B47"/>
    <mergeCell ref="A36:B36"/>
    <mergeCell ref="A43:B43"/>
    <mergeCell ref="A26:B26"/>
    <mergeCell ref="C26:D26"/>
    <mergeCell ref="A21:B21"/>
    <mergeCell ref="A1:E1"/>
    <mergeCell ref="A2:C2"/>
    <mergeCell ref="A4:E4"/>
    <mergeCell ref="A3:C3"/>
    <mergeCell ref="A5:D5"/>
    <mergeCell ref="C6:D6"/>
    <mergeCell ref="A6:B6"/>
    <mergeCell ref="C21:D21"/>
    <mergeCell ref="C38:D38"/>
    <mergeCell ref="C32:D32"/>
    <mergeCell ref="C23:D23"/>
    <mergeCell ref="A23:B23"/>
    <mergeCell ref="C22:D22"/>
    <mergeCell ref="A34:D34"/>
    <mergeCell ref="C36:D36"/>
    <mergeCell ref="A35:B35"/>
    <mergeCell ref="A27:B27"/>
    <mergeCell ref="A29:D29"/>
    <mergeCell ref="A30:B30"/>
    <mergeCell ref="A32:B32"/>
    <mergeCell ref="C30:D30"/>
    <mergeCell ref="D33:E33"/>
    <mergeCell ref="C31:D31"/>
    <mergeCell ref="A31:B31"/>
    <mergeCell ref="C18:D18"/>
    <mergeCell ref="A18:B18"/>
    <mergeCell ref="A9:B9"/>
    <mergeCell ref="A10:B10"/>
    <mergeCell ref="C10:D10"/>
    <mergeCell ref="C11:D11"/>
    <mergeCell ref="C9:D9"/>
    <mergeCell ref="C15:D15"/>
    <mergeCell ref="A12:B12"/>
    <mergeCell ref="A11:B11"/>
    <mergeCell ref="C13:D13"/>
    <mergeCell ref="A13:B13"/>
    <mergeCell ref="C27:D27"/>
    <mergeCell ref="C12:D12"/>
    <mergeCell ref="A14:B14"/>
    <mergeCell ref="C16:D16"/>
    <mergeCell ref="C24:D24"/>
    <mergeCell ref="A24:B24"/>
    <mergeCell ref="A22:B22"/>
    <mergeCell ref="C19:D19"/>
    <mergeCell ref="A19:B19"/>
    <mergeCell ref="A15:B15"/>
    <mergeCell ref="A38:B38"/>
    <mergeCell ref="A17:B17"/>
    <mergeCell ref="C17:D17"/>
    <mergeCell ref="C20:D20"/>
    <mergeCell ref="A20:B20"/>
    <mergeCell ref="C25:D25"/>
    <mergeCell ref="A25:B25"/>
    <mergeCell ref="C35:D35"/>
    <mergeCell ref="A39:B39"/>
    <mergeCell ref="A40:B40"/>
    <mergeCell ref="A62:E62"/>
    <mergeCell ref="A60:E60"/>
    <mergeCell ref="C57:D57"/>
    <mergeCell ref="C44:D44"/>
    <mergeCell ref="A50:B50"/>
    <mergeCell ref="C43:D43"/>
    <mergeCell ref="A49:B49"/>
    <mergeCell ref="C54:D54"/>
    <mergeCell ref="A132:C132"/>
    <mergeCell ref="A101:C101"/>
    <mergeCell ref="A85:C85"/>
    <mergeCell ref="A81:C81"/>
    <mergeCell ref="A112:E112"/>
    <mergeCell ref="A119:C119"/>
    <mergeCell ref="A126:E126"/>
    <mergeCell ref="A128:C128"/>
    <mergeCell ref="A93:E93"/>
    <mergeCell ref="A154:C154"/>
    <mergeCell ref="A166:C166"/>
    <mergeCell ref="A173:C173"/>
    <mergeCell ref="A146:C146"/>
    <mergeCell ref="A198:E198"/>
    <mergeCell ref="A161:C161"/>
    <mergeCell ref="A183:C183"/>
    <mergeCell ref="A159:E159"/>
    <mergeCell ref="A178:E178"/>
    <mergeCell ref="A193:C193"/>
    <mergeCell ref="A1218:B1218"/>
    <mergeCell ref="H898:H899"/>
    <mergeCell ref="H903:H904"/>
    <mergeCell ref="H907:H908"/>
    <mergeCell ref="H912:H913"/>
    <mergeCell ref="A1104:E1104"/>
    <mergeCell ref="A1204:B1204"/>
    <mergeCell ref="B1107:C1107"/>
    <mergeCell ref="A1089:B1089"/>
    <mergeCell ref="C1197:C1201"/>
    <mergeCell ref="C1221:C1222"/>
    <mergeCell ref="A1176:B1176"/>
    <mergeCell ref="C1179:C1182"/>
    <mergeCell ref="C1205:C1212"/>
    <mergeCell ref="A1193:B1193"/>
    <mergeCell ref="A1179:B1182"/>
    <mergeCell ref="A1178:B1178"/>
    <mergeCell ref="A1215:B1215"/>
    <mergeCell ref="A1216:B1217"/>
    <mergeCell ref="A1192:B1192"/>
    <mergeCell ref="A1224:B1224"/>
    <mergeCell ref="A1226:B1230"/>
    <mergeCell ref="A1232:B1232"/>
    <mergeCell ref="A1223:B1223"/>
    <mergeCell ref="A1225:B1225"/>
    <mergeCell ref="A1221:B1222"/>
    <mergeCell ref="A1255:B1255"/>
    <mergeCell ref="A1251:B1251"/>
    <mergeCell ref="A1234:B1235"/>
    <mergeCell ref="A1237:B1237"/>
    <mergeCell ref="A1243:B1243"/>
    <mergeCell ref="A1244:B1249"/>
    <mergeCell ref="A1239:B1240"/>
    <mergeCell ref="A1260:B1260"/>
    <mergeCell ref="A1267:B1267"/>
    <mergeCell ref="A1238:B1238"/>
    <mergeCell ref="A1252:B1252"/>
    <mergeCell ref="A1284:B1288"/>
    <mergeCell ref="A1254:B1254"/>
    <mergeCell ref="A1253:B1253"/>
    <mergeCell ref="A1275:B1275"/>
    <mergeCell ref="A1266:B1266"/>
    <mergeCell ref="A1257:B1257"/>
    <mergeCell ref="A1219:B1219"/>
    <mergeCell ref="A1265:B1265"/>
    <mergeCell ref="A1259:B1259"/>
    <mergeCell ref="A1262:B1262"/>
    <mergeCell ref="A1263:B1263"/>
    <mergeCell ref="A1261:B1261"/>
    <mergeCell ref="A1256:B1256"/>
    <mergeCell ref="A1258:B1258"/>
    <mergeCell ref="A1264:B1264"/>
    <mergeCell ref="A1220:B1220"/>
    <mergeCell ref="A1197:B1201"/>
    <mergeCell ref="A1185:B1185"/>
    <mergeCell ref="A1174:B1175"/>
    <mergeCell ref="A1177:B1177"/>
    <mergeCell ref="C1186:C1189"/>
    <mergeCell ref="C1174:C1175"/>
    <mergeCell ref="A1196:B1196"/>
    <mergeCell ref="A1191:B1191"/>
    <mergeCell ref="A1186:B1189"/>
    <mergeCell ref="A217:C217"/>
    <mergeCell ref="A180:C180"/>
    <mergeCell ref="A245:E245"/>
    <mergeCell ref="B843:C843"/>
    <mergeCell ref="A287:E287"/>
    <mergeCell ref="A214:C214"/>
    <mergeCell ref="A314:C314"/>
    <mergeCell ref="B769:C769"/>
    <mergeCell ref="A224:C224"/>
    <mergeCell ref="A764:A767"/>
    <mergeCell ref="A543:C543"/>
    <mergeCell ref="A541:E541"/>
    <mergeCell ref="A431:C431"/>
    <mergeCell ref="A445:C445"/>
    <mergeCell ref="A502:C502"/>
    <mergeCell ref="C1095:D1095"/>
    <mergeCell ref="A448:C448"/>
    <mergeCell ref="A926:B926"/>
    <mergeCell ref="A986:B995"/>
    <mergeCell ref="A1022:B1024"/>
    <mergeCell ref="A351:C351"/>
    <mergeCell ref="A346:C346"/>
    <mergeCell ref="A376:C376"/>
    <mergeCell ref="A418:C418"/>
    <mergeCell ref="A358:E358"/>
    <mergeCell ref="A405:C405"/>
    <mergeCell ref="A360:C360"/>
    <mergeCell ref="A387:C387"/>
    <mergeCell ref="A247:C247"/>
    <mergeCell ref="B1125:C1125"/>
    <mergeCell ref="A954:B954"/>
    <mergeCell ref="A908:B909"/>
    <mergeCell ref="A1005:B1005"/>
    <mergeCell ref="A970:B970"/>
    <mergeCell ref="A927:B927"/>
    <mergeCell ref="C949:C950"/>
    <mergeCell ref="C963:C967"/>
    <mergeCell ref="B821:C821"/>
    <mergeCell ref="A200:C200"/>
    <mergeCell ref="A598:C598"/>
    <mergeCell ref="A250:C250"/>
    <mergeCell ref="A312:E312"/>
    <mergeCell ref="A429:E429"/>
    <mergeCell ref="B816:C818"/>
    <mergeCell ref="A807:A812"/>
    <mergeCell ref="A596:E596"/>
    <mergeCell ref="A579:E579"/>
    <mergeCell ref="A646:C646"/>
    <mergeCell ref="B867:C867"/>
    <mergeCell ref="C899:C900"/>
    <mergeCell ref="C908:C909"/>
    <mergeCell ref="A941:B941"/>
    <mergeCell ref="A816:A818"/>
    <mergeCell ref="B836:C836"/>
    <mergeCell ref="A932:B938"/>
    <mergeCell ref="A899:B900"/>
    <mergeCell ref="A912:B912"/>
    <mergeCell ref="A907:B907"/>
    <mergeCell ref="A793:A796"/>
    <mergeCell ref="A619:C619"/>
    <mergeCell ref="A672:C672"/>
    <mergeCell ref="A269:C269"/>
    <mergeCell ref="A276:C276"/>
    <mergeCell ref="A399:E399"/>
    <mergeCell ref="A296:C296"/>
    <mergeCell ref="A401:C401"/>
    <mergeCell ref="A548:C548"/>
    <mergeCell ref="A289:C289"/>
    <mergeCell ref="H792:H793"/>
    <mergeCell ref="H777:H778"/>
    <mergeCell ref="B777:C777"/>
    <mergeCell ref="B778:C782"/>
    <mergeCell ref="B785:C785"/>
    <mergeCell ref="H756:H757"/>
    <mergeCell ref="H763:H764"/>
    <mergeCell ref="B756:C756"/>
    <mergeCell ref="A771:A774"/>
    <mergeCell ref="H770:H771"/>
    <mergeCell ref="B757:C760"/>
    <mergeCell ref="B762:C762"/>
    <mergeCell ref="A329:E329"/>
    <mergeCell ref="A331:C331"/>
    <mergeCell ref="A757:A760"/>
    <mergeCell ref="A622:C622"/>
    <mergeCell ref="A364:C364"/>
    <mergeCell ref="H874:H875"/>
    <mergeCell ref="H850:H851"/>
    <mergeCell ref="H893:H894"/>
    <mergeCell ref="H785:H786"/>
    <mergeCell ref="H806:H807"/>
    <mergeCell ref="H815:H816"/>
    <mergeCell ref="H821:H822"/>
    <mergeCell ref="H799:H800"/>
    <mergeCell ref="H881:H882"/>
    <mergeCell ref="H888:H889"/>
    <mergeCell ref="H1173:H1174"/>
    <mergeCell ref="H1178:H1179"/>
    <mergeCell ref="H1185:H1186"/>
    <mergeCell ref="H1192:H1193"/>
    <mergeCell ref="H1067:H1068"/>
    <mergeCell ref="H828:H829"/>
    <mergeCell ref="H836:H837"/>
    <mergeCell ref="H843:H844"/>
    <mergeCell ref="H931:H932"/>
    <mergeCell ref="H859:H860"/>
    <mergeCell ref="H1165:H1166"/>
    <mergeCell ref="H985:H986"/>
    <mergeCell ref="H998:H999"/>
    <mergeCell ref="H1005:H1006"/>
    <mergeCell ref="H1014:H1015"/>
    <mergeCell ref="H1156:H1157"/>
    <mergeCell ref="H1027:H1028"/>
    <mergeCell ref="H1059:H1060"/>
    <mergeCell ref="H1063:H1064"/>
    <mergeCell ref="H1149:H1150"/>
    <mergeCell ref="H1308:H1309"/>
    <mergeCell ref="H1238:H1239"/>
    <mergeCell ref="H1243:H1244"/>
    <mergeCell ref="H1252:H1253"/>
    <mergeCell ref="H1256:H1257"/>
    <mergeCell ref="H1268:H1269"/>
    <mergeCell ref="H1276:H1277"/>
    <mergeCell ref="H1283:H1284"/>
    <mergeCell ref="H1291:H1292"/>
    <mergeCell ref="H1303:H1304"/>
    <mergeCell ref="H1295:H1296"/>
    <mergeCell ref="H1196:H1197"/>
    <mergeCell ref="H1204:H1205"/>
    <mergeCell ref="H1215:H1216"/>
    <mergeCell ref="H1220:H1221"/>
    <mergeCell ref="H1225:H1226"/>
    <mergeCell ref="H1233:H1234"/>
    <mergeCell ref="H1260:H1261"/>
    <mergeCell ref="H1264:H1265"/>
    <mergeCell ref="H1315:H1316"/>
    <mergeCell ref="H1320:H1321"/>
    <mergeCell ref="A1319:B1319"/>
    <mergeCell ref="A1320:B1320"/>
    <mergeCell ref="A1321:B1322"/>
    <mergeCell ref="A1316:B1317"/>
    <mergeCell ref="C1316:C1317"/>
    <mergeCell ref="A1315:B1315"/>
    <mergeCell ref="A204:C204"/>
    <mergeCell ref="A1324:B1324"/>
    <mergeCell ref="A1325:B1325"/>
    <mergeCell ref="C1321:C1322"/>
    <mergeCell ref="A1290:B1290"/>
    <mergeCell ref="A1282:B1282"/>
    <mergeCell ref="A1283:B1283"/>
    <mergeCell ref="C1309:C1312"/>
    <mergeCell ref="A1309:B1312"/>
    <mergeCell ref="A1308:B1308"/>
    <mergeCell ref="B763:C763"/>
    <mergeCell ref="A893:B893"/>
    <mergeCell ref="B799:C799"/>
    <mergeCell ref="B793:C796"/>
    <mergeCell ref="A381:E381"/>
    <mergeCell ref="A443:E443"/>
    <mergeCell ref="B770:C770"/>
    <mergeCell ref="B800:C803"/>
    <mergeCell ref="A882:A885"/>
    <mergeCell ref="B771:C774"/>
    <mergeCell ref="A1091:B1091"/>
    <mergeCell ref="A1147:E1147"/>
    <mergeCell ref="A54:B54"/>
    <mergeCell ref="C39:D39"/>
    <mergeCell ref="C40:D40"/>
    <mergeCell ref="A51:B51"/>
    <mergeCell ref="C48:D48"/>
    <mergeCell ref="C49:D49"/>
    <mergeCell ref="C50:D50"/>
    <mergeCell ref="A424:C424"/>
    <mergeCell ref="A1336:B1336"/>
    <mergeCell ref="H1341:H1342"/>
    <mergeCell ref="C1337:C1338"/>
    <mergeCell ref="A746:E746"/>
    <mergeCell ref="C1269:C1273"/>
    <mergeCell ref="B859:C859"/>
    <mergeCell ref="B837:C840"/>
    <mergeCell ref="A1269:B1273"/>
    <mergeCell ref="C1028:C1031"/>
    <mergeCell ref="A1096:B1096"/>
    <mergeCell ref="A1340:B1340"/>
    <mergeCell ref="A1337:B1338"/>
    <mergeCell ref="A1051:B1051"/>
    <mergeCell ref="A383:C383"/>
    <mergeCell ref="A1335:B1335"/>
    <mergeCell ref="C46:D46"/>
    <mergeCell ref="C51:D51"/>
    <mergeCell ref="C53:D53"/>
    <mergeCell ref="A1072:B1072"/>
    <mergeCell ref="A875:A878"/>
    <mergeCell ref="A1330:B1330"/>
    <mergeCell ref="A1331:B1331"/>
    <mergeCell ref="C8:D8"/>
    <mergeCell ref="C14:D14"/>
    <mergeCell ref="A8:B8"/>
    <mergeCell ref="A16:B16"/>
    <mergeCell ref="C37:D37"/>
    <mergeCell ref="A37:B37"/>
    <mergeCell ref="C45:D45"/>
    <mergeCell ref="A45:B45"/>
    <mergeCell ref="A1064:B1064"/>
    <mergeCell ref="C1239:C1240"/>
    <mergeCell ref="H1336:H1337"/>
    <mergeCell ref="H1050:H1051"/>
    <mergeCell ref="H1325:H1326"/>
    <mergeCell ref="H1331:H1332"/>
    <mergeCell ref="A1332:B1333"/>
    <mergeCell ref="C1332:C1333"/>
    <mergeCell ref="A1050:B1050"/>
    <mergeCell ref="A1291:B1291"/>
    <mergeCell ref="A1356:B1357"/>
    <mergeCell ref="A786:A789"/>
    <mergeCell ref="B866:C866"/>
    <mergeCell ref="A837:A840"/>
    <mergeCell ref="B807:C812"/>
    <mergeCell ref="A1360:B1360"/>
    <mergeCell ref="C1356:C1357"/>
    <mergeCell ref="A1359:B1359"/>
    <mergeCell ref="A1341:B1341"/>
    <mergeCell ref="C1055:C1056"/>
    <mergeCell ref="A1296:B1300"/>
    <mergeCell ref="A1350:B1350"/>
    <mergeCell ref="A1355:B1355"/>
    <mergeCell ref="B786:C789"/>
    <mergeCell ref="B768:C768"/>
    <mergeCell ref="B776:C776"/>
    <mergeCell ref="B882:C885"/>
    <mergeCell ref="A1055:B1056"/>
    <mergeCell ref="A1342:B1342"/>
    <mergeCell ref="A1149:B1149"/>
    <mergeCell ref="B860:C864"/>
    <mergeCell ref="C1035:C1039"/>
    <mergeCell ref="A1354:B1354"/>
    <mergeCell ref="B828:C828"/>
    <mergeCell ref="B822:C825"/>
    <mergeCell ref="A822:A825"/>
    <mergeCell ref="A860:A864"/>
    <mergeCell ref="B868:C871"/>
    <mergeCell ref="A868:A871"/>
    <mergeCell ref="C1296:C1300"/>
    <mergeCell ref="A644:E644"/>
    <mergeCell ref="A663:C663"/>
    <mergeCell ref="A670:E670"/>
    <mergeCell ref="A702:C702"/>
    <mergeCell ref="A1351:B1351"/>
    <mergeCell ref="A1352:B1352"/>
    <mergeCell ref="B881:C881"/>
    <mergeCell ref="A844:A847"/>
    <mergeCell ref="A778:A782"/>
    <mergeCell ref="A800:A803"/>
    <mergeCell ref="A282:C282"/>
    <mergeCell ref="A318:C318"/>
    <mergeCell ref="A1073:B1075"/>
    <mergeCell ref="C1073:C1075"/>
    <mergeCell ref="A712:E712"/>
    <mergeCell ref="A714:C714"/>
    <mergeCell ref="A651:C651"/>
    <mergeCell ref="A627:E627"/>
    <mergeCell ref="A629:C629"/>
    <mergeCell ref="A634:C634"/>
    <mergeCell ref="A754:C754"/>
    <mergeCell ref="C932:C938"/>
    <mergeCell ref="H867:H868"/>
    <mergeCell ref="H927:H928"/>
    <mergeCell ref="A707:C707"/>
    <mergeCell ref="A612:E612"/>
    <mergeCell ref="A614:C614"/>
    <mergeCell ref="A639:C639"/>
    <mergeCell ref="A695:E695"/>
    <mergeCell ref="A697:C697"/>
    <mergeCell ref="A748:C748"/>
    <mergeCell ref="A1078:B1078"/>
    <mergeCell ref="A1079:B1079"/>
    <mergeCell ref="H1078:H1079"/>
    <mergeCell ref="H1072:H1073"/>
    <mergeCell ref="A718:C718"/>
    <mergeCell ref="A725:E725"/>
    <mergeCell ref="A727:C727"/>
    <mergeCell ref="A732:C732"/>
    <mergeCell ref="A741:C741"/>
  </mergeCells>
  <printOptions horizontalCentered="1"/>
  <pageMargins left="0.196850393700787" right="0.196850393700787" top="0.0393700787401575" bottom="0.236220472440945" header="0.31496062992126" footer="0.31496062992126"/>
  <pageSetup fitToHeight="0" fitToWidth="1" horizontalDpi="600" verticalDpi="600" orientation="portrait" paperSize="9" scale="64" r:id="rId1"/>
  <headerFooter alignWithMargins="0">
    <oddHeader>&amp;R&amp;P</oddHeader>
    <oddFooter>&amp;L&amp;14A.O. / Disposal&amp;C&amp;14Sr.XEN. / Disposal&amp;R&amp;14COS and D ( South), PTA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93" zoomScaleSheetLayoutView="93" zoomScalePageLayoutView="0" workbookViewId="0" topLeftCell="A1">
      <selection activeCell="E17" sqref="E17"/>
    </sheetView>
  </sheetViews>
  <sheetFormatPr defaultColWidth="9.140625" defaultRowHeight="12.75"/>
  <cols>
    <col min="1" max="1" width="23.140625" style="0" customWidth="1"/>
    <col min="2" max="2" width="69.8515625" style="25" customWidth="1"/>
    <col min="3" max="3" width="24.8515625" style="0" customWidth="1"/>
    <col min="4" max="4" width="9.7109375" style="0" hidden="1" customWidth="1"/>
    <col min="5" max="5" width="119.7109375" style="0" customWidth="1"/>
  </cols>
  <sheetData>
    <row r="1" spans="1:3" ht="16.5">
      <c r="A1" s="407" t="s">
        <v>84</v>
      </c>
      <c r="B1" s="407"/>
      <c r="C1" s="407"/>
    </row>
    <row r="2" spans="1:2" ht="12.75">
      <c r="A2" s="30" t="str">
        <f>scrap!A2</f>
        <v>E - Auction Notice No. -</v>
      </c>
      <c r="B2" s="29" t="str">
        <f>scrap!D2</f>
        <v>EA-76 /PTA-2023-24</v>
      </c>
    </row>
    <row r="3" spans="1:2" ht="12.75">
      <c r="A3" s="30" t="str">
        <f>scrap!A3</f>
        <v>Date of Auction -</v>
      </c>
      <c r="B3" s="29" t="str">
        <f>scrap!D3</f>
        <v>12.03.2024</v>
      </c>
    </row>
    <row r="4" spans="1:2" ht="12.75">
      <c r="A4" s="30"/>
      <c r="B4" s="29"/>
    </row>
    <row r="5" spans="1:5" ht="18">
      <c r="A5" s="409" t="s">
        <v>720</v>
      </c>
      <c r="B5" s="410"/>
      <c r="C5" s="410"/>
      <c r="D5" s="410"/>
      <c r="E5" s="410"/>
    </row>
    <row r="6" spans="1:3" s="26" customFormat="1" ht="20.25" customHeight="1">
      <c r="A6" s="79" t="s">
        <v>5</v>
      </c>
      <c r="B6" s="151" t="s">
        <v>81</v>
      </c>
      <c r="C6" s="150" t="s">
        <v>82</v>
      </c>
    </row>
    <row r="7" spans="1:5" s="26" customFormat="1" ht="20.25" customHeight="1">
      <c r="A7" s="86" t="s">
        <v>721</v>
      </c>
      <c r="B7" s="105" t="s">
        <v>160</v>
      </c>
      <c r="C7" s="46">
        <v>493</v>
      </c>
      <c r="D7" s="220"/>
      <c r="E7" s="102" t="str">
        <f aca="true" t="shared" si="0" ref="E7:E13">CONCATENATE("E-Waste Scrap (Meter scrap), Lying at ",B7,". Quantity in Kg - ",C7,)</f>
        <v>E-Waste Scrap (Meter scrap), Lying at ME LAB PATIALA (Crushed Meter Scrap/E-Waste). Quantity in Kg - 493</v>
      </c>
    </row>
    <row r="8" spans="1:5" s="26" customFormat="1" ht="20.25" customHeight="1">
      <c r="A8" s="86" t="s">
        <v>722</v>
      </c>
      <c r="B8" s="262" t="s">
        <v>152</v>
      </c>
      <c r="C8" s="292">
        <v>1305</v>
      </c>
      <c r="D8" s="133">
        <v>1025</v>
      </c>
      <c r="E8" s="102" t="str">
        <f t="shared" si="0"/>
        <v>E-Waste Scrap (Meter scrap), Lying at ME LAB SANGRUR (Crushed Meter Scrap/E-Waste). Quantity in Kg - 1305</v>
      </c>
    </row>
    <row r="9" spans="1:5" s="26" customFormat="1" ht="20.25" customHeight="1">
      <c r="A9" s="86" t="s">
        <v>723</v>
      </c>
      <c r="B9" s="262" t="s">
        <v>153</v>
      </c>
      <c r="C9" s="292">
        <v>223</v>
      </c>
      <c r="D9" s="133">
        <v>181</v>
      </c>
      <c r="E9" s="102" t="str">
        <f t="shared" si="0"/>
        <v>E-Waste Scrap (Meter scrap), Lying at ME LAB ROPAR (Crushed Meter Scrap/E-Waste). Quantity in Kg - 223</v>
      </c>
    </row>
    <row r="10" spans="1:5" s="26" customFormat="1" ht="20.25" customHeight="1">
      <c r="A10" s="86" t="s">
        <v>724</v>
      </c>
      <c r="B10" s="105" t="s">
        <v>270</v>
      </c>
      <c r="C10" s="46">
        <v>625.39</v>
      </c>
      <c r="D10" s="133"/>
      <c r="E10" s="102" t="str">
        <f t="shared" si="0"/>
        <v>E-Waste Scrap (Meter scrap), Lying at ME LAB MOGA (Crushed Meter Scrap/E-Waste). Quantity in Kg - 625.39</v>
      </c>
    </row>
    <row r="11" spans="1:5" s="26" customFormat="1" ht="20.25" customHeight="1">
      <c r="A11" s="86" t="s">
        <v>725</v>
      </c>
      <c r="B11" s="105" t="s">
        <v>271</v>
      </c>
      <c r="C11" s="46">
        <v>1364.12</v>
      </c>
      <c r="D11" s="133"/>
      <c r="E11" s="102" t="str">
        <f t="shared" si="0"/>
        <v>E-Waste Scrap (Meter scrap), Lying at ME LAB SHRI MUKTSAR SAHIB (Crushed Meter Scrap/E-Waste). Quantity in Kg - 1364.12</v>
      </c>
    </row>
    <row r="12" spans="1:5" s="26" customFormat="1" ht="20.25" customHeight="1">
      <c r="A12" s="86" t="s">
        <v>727</v>
      </c>
      <c r="B12" s="262" t="s">
        <v>778</v>
      </c>
      <c r="C12" s="311">
        <v>3640</v>
      </c>
      <c r="D12" s="133" t="s">
        <v>711</v>
      </c>
      <c r="E12" s="102" t="str">
        <f t="shared" si="0"/>
        <v>E-Waste Scrap (Meter scrap), Lying at ME LAB SANGRUR (Electronic Meter Scrap/E-Waste). Quantity in Kg - 3640</v>
      </c>
    </row>
    <row r="13" spans="1:5" s="26" customFormat="1" ht="20.25" customHeight="1">
      <c r="A13" s="86" t="s">
        <v>728</v>
      </c>
      <c r="B13" s="262" t="s">
        <v>779</v>
      </c>
      <c r="C13" s="219">
        <v>1042</v>
      </c>
      <c r="D13" s="133" t="s">
        <v>711</v>
      </c>
      <c r="E13" s="102" t="str">
        <f t="shared" si="0"/>
        <v>E-Waste Scrap (Meter scrap), Lying at ME LAB ROPAR Electronic Meter Scrap/E-Waste). Quantity in Kg - 1042</v>
      </c>
    </row>
    <row r="14" spans="1:5" s="26" customFormat="1" ht="20.25" customHeight="1">
      <c r="A14" s="86"/>
      <c r="B14" s="262"/>
      <c r="C14" s="219"/>
      <c r="D14" s="315"/>
      <c r="E14" s="143"/>
    </row>
    <row r="15" spans="1:5" s="26" customFormat="1" ht="37.5" customHeight="1">
      <c r="A15" s="408" t="s">
        <v>726</v>
      </c>
      <c r="B15" s="408"/>
      <c r="C15" s="408"/>
      <c r="D15" s="144"/>
      <c r="E15" s="145"/>
    </row>
    <row r="16" spans="1:5" s="26" customFormat="1" ht="20.25" customHeight="1">
      <c r="A16" s="408"/>
      <c r="B16" s="408"/>
      <c r="C16" s="408"/>
      <c r="D16" s="145"/>
      <c r="E16" s="145"/>
    </row>
    <row r="17" spans="1:5" s="26" customFormat="1" ht="39.75" customHeight="1">
      <c r="A17" s="408"/>
      <c r="B17" s="408"/>
      <c r="C17" s="408"/>
      <c r="D17" s="142"/>
      <c r="E17" s="143"/>
    </row>
    <row r="18" spans="1:5" s="26" customFormat="1" ht="15" customHeight="1">
      <c r="A18" s="146"/>
      <c r="B18" s="149" t="s">
        <v>215</v>
      </c>
      <c r="C18" s="150" t="s">
        <v>334</v>
      </c>
      <c r="D18" s="142"/>
      <c r="E18" s="143"/>
    </row>
    <row r="19" spans="1:5" s="26" customFormat="1" ht="20.25" customHeight="1">
      <c r="A19" s="86" t="s">
        <v>729</v>
      </c>
      <c r="B19" s="107" t="s">
        <v>332</v>
      </c>
      <c r="C19" s="147">
        <v>1</v>
      </c>
      <c r="D19" s="133"/>
      <c r="E19" s="102" t="str">
        <f>CONCATENATE("E-Waste Scrap (U/S AC WINDOW), Lying at ",B19,". Quantity in No - ",C19,)</f>
        <v>E-Waste Scrap (U/S AC WINDOW), Lying at CS SANGRUR (U/S AC WINDOW). Quantity in No - 1</v>
      </c>
    </row>
    <row r="20" spans="1:5" s="26" customFormat="1" ht="20.25" customHeight="1">
      <c r="A20" s="86" t="s">
        <v>730</v>
      </c>
      <c r="B20" s="107" t="s">
        <v>333</v>
      </c>
      <c r="C20" s="147">
        <v>16</v>
      </c>
      <c r="D20" s="133"/>
      <c r="E20" s="102" t="str">
        <f>CONCATENATE("E-Waste Scrap (U/S AC WINDOW), Lying at ",B20,". Quantity in No - ",C20,)</f>
        <v>E-Waste Scrap (U/S AC WINDOW), Lying at CS PATIALA  (U/S AC WINDOW). Quantity in No - 16</v>
      </c>
    </row>
    <row r="21" spans="1:5" s="26" customFormat="1" ht="20.25" customHeight="1">
      <c r="A21" s="86" t="s">
        <v>731</v>
      </c>
      <c r="B21" s="107" t="s">
        <v>342</v>
      </c>
      <c r="C21" s="147">
        <v>19</v>
      </c>
      <c r="D21" s="133"/>
      <c r="E21" s="102" t="str">
        <f>CONCATENATE("E-Waste Scrap (U/S STABLIZERS), Lying at ",B21,". Quantity in No - ",C21,)</f>
        <v>E-Waste Scrap (U/S STABLIZERS), Lying at CS PATIALA  (U/S STABLIZERS). Quantity in No - 19</v>
      </c>
    </row>
    <row r="22" spans="1:5" s="26" customFormat="1" ht="20.25" customHeight="1">
      <c r="A22" s="86" t="s">
        <v>780</v>
      </c>
      <c r="B22" s="107" t="s">
        <v>529</v>
      </c>
      <c r="C22" s="147">
        <v>5</v>
      </c>
      <c r="D22" s="133"/>
      <c r="E22" s="102" t="str">
        <f>CONCATENATE("E-Waste Scrap (U/S AC SPLIT), Lying at ",B22,". Quantity in No - ",C22,)</f>
        <v>E-Waste Scrap (U/S AC SPLIT), Lying at CS PATIALA  (U/S AC SPLIT). Quantity in No - 5</v>
      </c>
    </row>
    <row r="23" spans="1:5" s="26" customFormat="1" ht="20.25" customHeight="1">
      <c r="A23" s="86" t="s">
        <v>781</v>
      </c>
      <c r="B23" s="107" t="s">
        <v>562</v>
      </c>
      <c r="C23" s="147">
        <v>1</v>
      </c>
      <c r="D23" s="142"/>
      <c r="E23" s="102" t="str">
        <f>CONCATENATE("E-Waste Scrap (U/S AC WINDOW ), Lying at ",B23,". Quantity in No - ",C23,)</f>
        <v>E-Waste Scrap (U/S AC WINDOW ), Lying at CS KOTKAPURA (U/S AC WINDOW). Quantity in No - 1</v>
      </c>
    </row>
    <row r="24" spans="1:5" s="26" customFormat="1" ht="20.25" customHeight="1">
      <c r="A24" s="141"/>
      <c r="B24" s="153"/>
      <c r="C24" s="152"/>
      <c r="D24" s="142"/>
      <c r="E24" s="143"/>
    </row>
    <row r="25" spans="1:3" s="26" customFormat="1" ht="15" customHeight="1">
      <c r="A25" s="36"/>
      <c r="B25" s="37"/>
      <c r="C25" s="85"/>
    </row>
    <row r="26" spans="1:3" s="26" customFormat="1" ht="15">
      <c r="A26" s="31" t="s">
        <v>83</v>
      </c>
      <c r="B26" s="32" t="s">
        <v>87</v>
      </c>
      <c r="C26" s="33" t="s">
        <v>86</v>
      </c>
    </row>
    <row r="27" spans="1:3" s="26" customFormat="1" ht="15">
      <c r="A27" s="31" t="s">
        <v>85</v>
      </c>
      <c r="B27" s="31" t="s">
        <v>85</v>
      </c>
      <c r="C27" s="31" t="s">
        <v>85</v>
      </c>
    </row>
    <row r="28" spans="1:3" s="26" customFormat="1" ht="13.5">
      <c r="A28" s="27"/>
      <c r="B28" s="28"/>
      <c r="C28" s="27"/>
    </row>
  </sheetData>
  <sheetProtection/>
  <mergeCells count="3">
    <mergeCell ref="A1:C1"/>
    <mergeCell ref="A15:C17"/>
    <mergeCell ref="A5:E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Rajiv</dc:creator>
  <cp:keywords/>
  <dc:description/>
  <cp:lastModifiedBy>Sukhvinder Singh</cp:lastModifiedBy>
  <cp:lastPrinted>2024-02-23T10:34:30Z</cp:lastPrinted>
  <dcterms:created xsi:type="dcterms:W3CDTF">1996-10-14T23:33:28Z</dcterms:created>
  <dcterms:modified xsi:type="dcterms:W3CDTF">2024-03-08T08:32:38Z</dcterms:modified>
  <cp:category/>
  <cp:version/>
  <cp:contentType/>
  <cp:contentStatus/>
</cp:coreProperties>
</file>